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165" windowHeight="9780" firstSheet="1" activeTab="1"/>
  </bookViews>
  <sheets>
    <sheet name="Лист1" sheetId="1" r:id="rId1"/>
    <sheet name="Зведен.шт.роз. 2013 р." sheetId="2" r:id="rId2"/>
  </sheets>
  <definedNames>
    <definedName name="_xlnm.Print_Area" localSheetId="1">'Зведен.шт.роз. 2013 р.'!$A$2:$T$27</definedName>
  </definedNames>
  <calcPr fullCalcOnLoad="1" refMode="R1C1"/>
</workbook>
</file>

<file path=xl/sharedStrings.xml><?xml version="1.0" encoding="utf-8"?>
<sst xmlns="http://schemas.openxmlformats.org/spreadsheetml/2006/main" count="495" uniqueCount="163">
  <si>
    <t>ІНФОРМАЦІЯ</t>
  </si>
  <si>
    <t>про фактичне використання фонду заробітної плати</t>
  </si>
  <si>
    <t>за 2008 рік по загальному та спеціальному фондах</t>
  </si>
  <si>
    <t>Загальний фонд</t>
  </si>
  <si>
    <t>Спеціальний фонд</t>
  </si>
  <si>
    <t>Професорсько-викладацький склад</t>
  </si>
  <si>
    <t>Середньорічна чисельність (чол.)</t>
  </si>
  <si>
    <t>Середній розмір посадового окладу, грн..</t>
  </si>
  <si>
    <t>Фонд зарплати на рік, тис.грн.</t>
  </si>
  <si>
    <t>Надбавки та доплати обов’язкового характеру, тис.грн.:</t>
  </si>
  <si>
    <t>- за вислугу років</t>
  </si>
  <si>
    <t>- відсоток (%)</t>
  </si>
  <si>
    <t>Виплати на оздоровлення, тис.грн.</t>
  </si>
  <si>
    <t>Погодинний фонд, тис.грн.</t>
  </si>
  <si>
    <t>Інші види зарплати (при виході на пенсію), тис.грн.</t>
  </si>
  <si>
    <t>Адмінперсонал, за умовами праці віднесений до НПП</t>
  </si>
  <si>
    <t>Адмінперсонал, за умовами праці віднесений до категорії педагогічного персоналу</t>
  </si>
  <si>
    <t>- за вислугу років, тис.грн.</t>
  </si>
  <si>
    <t>Виплати щорічної грошової допомоги, тис.грн.</t>
  </si>
  <si>
    <t>Спеціалісти</t>
  </si>
  <si>
    <t>Надбавки, що носять стимулюючий характер</t>
  </si>
  <si>
    <t>Матеріальна допомога, тис.грн.</t>
  </si>
  <si>
    <t>Робітники</t>
  </si>
  <si>
    <t>Надбавки обов’язкового характеру (шкідливі умови праці)</t>
  </si>
  <si>
    <t>Всього:</t>
  </si>
  <si>
    <t>Середньорічна кількість працюючих, чол..</t>
  </si>
  <si>
    <t>Фонд зарплати по основному окладу на рік, тис.грн.</t>
  </si>
  <si>
    <t>Надбавки обов’язкового характеру, тис.грн.</t>
  </si>
  <si>
    <t>Доплати за вчене звання та науковий ступінь, тис.грн.</t>
  </si>
  <si>
    <t>Інші виплати, які передбачені діючим законодавством (при виході на пенсію), тис.грн.</t>
  </si>
  <si>
    <t>Всього фонд заробітної плати на рік, тис.грн.</t>
  </si>
  <si>
    <t>Фонд зарплати на рік, тис.грн.(основной оклад)</t>
  </si>
  <si>
    <t xml:space="preserve">   за вчене звання та науковий ступінь,тис.грн.</t>
  </si>
  <si>
    <t xml:space="preserve">  за вчене звання та науковий ступінь, тис. грн.</t>
  </si>
  <si>
    <t>Надбавки  обов’язкового характеру, тис.грн.:</t>
  </si>
  <si>
    <t xml:space="preserve">Головний бухгалтер </t>
  </si>
  <si>
    <t>Алєксєєва К.І.</t>
  </si>
  <si>
    <t>Кількість штатних одиниць</t>
  </si>
  <si>
    <t>Потреба  на 2009 р.</t>
  </si>
  <si>
    <t>Затверджено кошторисом на 2009 р.</t>
  </si>
  <si>
    <t>Необхідно додатково +,-                тис. грн.</t>
  </si>
  <si>
    <t>середній розмір місячного посадового окладу по тарифній сітці</t>
  </si>
  <si>
    <t>всього на рік, тис.грн.</t>
  </si>
  <si>
    <t xml:space="preserve">середній розмір місячного посадового окладу </t>
  </si>
  <si>
    <t>1110 Оплата праці</t>
  </si>
  <si>
    <t>Науково-педагогічний персонал, всього</t>
  </si>
  <si>
    <t>Надбавки та доплати обов"язкового характеру:</t>
  </si>
  <si>
    <t xml:space="preserve">      вислуга років (%)</t>
  </si>
  <si>
    <t xml:space="preserve">      оздоровлення</t>
  </si>
  <si>
    <t xml:space="preserve">      за вчене звання, всього</t>
  </si>
  <si>
    <t>в тому числі:</t>
  </si>
  <si>
    <t xml:space="preserve">      професор</t>
  </si>
  <si>
    <t xml:space="preserve">      доцент</t>
  </si>
  <si>
    <t xml:space="preserve">      за науковий ступінь</t>
  </si>
  <si>
    <t xml:space="preserve">      доктор наук</t>
  </si>
  <si>
    <t xml:space="preserve">      кандидат наук</t>
  </si>
  <si>
    <t xml:space="preserve">      за звання "заслужений"</t>
  </si>
  <si>
    <t>За умовами праці, віднесені до науково-педагогічного персоналу, всього</t>
  </si>
  <si>
    <t>За умовами праці, віднесені до педагогічного персоналу, всього</t>
  </si>
  <si>
    <t>Спеціалісти, всього</t>
  </si>
  <si>
    <t>Робітники, всього</t>
  </si>
  <si>
    <t xml:space="preserve">      шкідливі умови праці</t>
  </si>
  <si>
    <t xml:space="preserve">Ректор </t>
  </si>
  <si>
    <t>Шебанін  В.С.</t>
  </si>
  <si>
    <t>Головний бухгалтер</t>
  </si>
  <si>
    <t xml:space="preserve">                   Обгрунтування видатків на заробітну плату із загального фонду </t>
  </si>
  <si>
    <t>Державного бюджету на 2009 рік</t>
  </si>
  <si>
    <t xml:space="preserve">                          по Миколаївському державному аграрному університету</t>
  </si>
  <si>
    <t xml:space="preserve">   </t>
  </si>
  <si>
    <t>за вчене звання, всього</t>
  </si>
  <si>
    <t xml:space="preserve">Основний оклад </t>
  </si>
  <si>
    <t>За завідування кафедрою</t>
  </si>
  <si>
    <t>За складність  та напруж.</t>
  </si>
  <si>
    <t>Видатки по індексації,всього</t>
  </si>
  <si>
    <t xml:space="preserve">           Обгрунтування  додаткових  видатків на заробітну плату  по загального фонду </t>
  </si>
  <si>
    <t xml:space="preserve">      вислуга років </t>
  </si>
  <si>
    <t xml:space="preserve">      за вчене звання</t>
  </si>
  <si>
    <t>Погодинний  фонд оплати праці</t>
  </si>
  <si>
    <t>Видатки по індексації</t>
  </si>
  <si>
    <t>Потреба  на 2009 рік, тис. грн.</t>
  </si>
  <si>
    <t>Затверджено кошторисом на 2009 рік, тис. грн.</t>
  </si>
  <si>
    <t>Необхідно додатково на 2009 рік, тис. грн.</t>
  </si>
  <si>
    <t xml:space="preserve">      Обгрунтування  додаткових  видатків на заробітну плату  по загального фонду </t>
  </si>
  <si>
    <t>Державного бюджету  на 2009 рік</t>
  </si>
  <si>
    <t xml:space="preserve"> КЕКВ 1110 "Заробітна плата "</t>
  </si>
  <si>
    <t>КЕКВ 1120 "Нарахування на заробітну плату"</t>
  </si>
  <si>
    <t>КЕКВ 1161  "Оплата теплопостоачання"</t>
  </si>
  <si>
    <t>КЕКВ 1162  "Оплата водопостачання"</t>
  </si>
  <si>
    <t>КЕКВ 1163  "Оплата електроенергії"</t>
  </si>
  <si>
    <t>КЕКВ 1164  "Оплата природного газу"</t>
  </si>
  <si>
    <t>у  натуральних показниках</t>
  </si>
  <si>
    <t>у вартісних показниках</t>
  </si>
  <si>
    <t>тис.Гкал.</t>
  </si>
  <si>
    <t>тис.грн.</t>
  </si>
  <si>
    <t>тис. куб.м</t>
  </si>
  <si>
    <t>тис.Квт.г</t>
  </si>
  <si>
    <t>тис.куб.м</t>
  </si>
  <si>
    <t>Одиниця виміру</t>
  </si>
  <si>
    <t>КЕКВ 1133 "Продукти харчування"</t>
  </si>
  <si>
    <t>Необхідно додатково на 2009 рік</t>
  </si>
  <si>
    <t>тис. грн.</t>
  </si>
  <si>
    <t>КЕКВ 1342 "Стипендія"</t>
  </si>
  <si>
    <t>КЕКВ 1342 "Стипендія" - індексація</t>
  </si>
  <si>
    <t>Всього по  МДАУ:</t>
  </si>
  <si>
    <t>Примітка</t>
  </si>
  <si>
    <t xml:space="preserve">                   Обгрунтування  додаткових  видатків   по загального фонду </t>
  </si>
  <si>
    <t xml:space="preserve">                      по Миколаївському державному аграрному університету</t>
  </si>
  <si>
    <t xml:space="preserve">                    Ректор </t>
  </si>
  <si>
    <t xml:space="preserve">Додаток до листа </t>
  </si>
  <si>
    <t>ДП "Агроосвіта"</t>
  </si>
  <si>
    <t>від_______________2010р. №__________</t>
  </si>
  <si>
    <t>Найменування посад</t>
  </si>
  <si>
    <t>Матеріальна допомога на оздоровлення</t>
  </si>
  <si>
    <t>по посадових окладах</t>
  </si>
  <si>
    <t>надбавки, всього</t>
  </si>
  <si>
    <t>з них</t>
  </si>
  <si>
    <t>професор</t>
  </si>
  <si>
    <t>доцент</t>
  </si>
  <si>
    <t>за вислугу років</t>
  </si>
  <si>
    <t>за вчене звання</t>
  </si>
  <si>
    <t>за науковий ступінь</t>
  </si>
  <si>
    <t>доктор</t>
  </si>
  <si>
    <t>Адмінперсонал, за умовами оплати праці віднесений до НПП</t>
  </si>
  <si>
    <t>Віднесені до педпрацівників</t>
  </si>
  <si>
    <t>Працівники бібліотеки</t>
  </si>
  <si>
    <t>Спеціалісти та службовці</t>
  </si>
  <si>
    <t>Погодинний фонд</t>
  </si>
  <si>
    <t>Сума на індексацію</t>
  </si>
  <si>
    <t>В.С. Шебанін</t>
  </si>
  <si>
    <t>Всього</t>
  </si>
  <si>
    <t>Інші виплати матеріального стимулювання</t>
  </si>
  <si>
    <t>Ректор</t>
  </si>
  <si>
    <t>науковий ступінь</t>
  </si>
  <si>
    <t>Наукові співробітники</t>
  </si>
  <si>
    <t>з нього</t>
  </si>
  <si>
    <t>Додаток 1</t>
  </si>
  <si>
    <t>до листа НМЦ "Агроосвіта"</t>
  </si>
  <si>
    <t>від 12.06.2013 № 128/516</t>
  </si>
  <si>
    <t>ЗВЕДЕНИЙ ШТАТНИЙ РОЗПИС</t>
  </si>
  <si>
    <t xml:space="preserve">по Миколаївському національному аграрному університету </t>
  </si>
  <si>
    <t>(грн.)</t>
  </si>
  <si>
    <t>Штатних  посад, один.</t>
  </si>
  <si>
    <t>З них мають</t>
  </si>
  <si>
    <t>вчене звання</t>
  </si>
  <si>
    <t>Фонд з/пл, на період затвердження, всього</t>
  </si>
  <si>
    <t>за особ. характер роботи</t>
  </si>
  <si>
    <t>стим. характеру</t>
  </si>
  <si>
    <t>доплати всього</t>
  </si>
  <si>
    <t xml:space="preserve">професор </t>
  </si>
  <si>
    <t xml:space="preserve">доцент </t>
  </si>
  <si>
    <t xml:space="preserve">канд. наук </t>
  </si>
  <si>
    <t>за вислугу років  бібліот.</t>
  </si>
  <si>
    <t>Професорсько-викладацький склад -  НПП</t>
  </si>
  <si>
    <t>Нерозподілені видатки</t>
  </si>
  <si>
    <t>К. І. Алєксєєва</t>
  </si>
  <si>
    <t xml:space="preserve">станом з 01.01.2013 року по спеціальному фонду </t>
  </si>
  <si>
    <t xml:space="preserve">станом  з  01.01.2013 року по загальному фонду </t>
  </si>
  <si>
    <t>канд.наук</t>
  </si>
  <si>
    <t>Т Е К</t>
  </si>
  <si>
    <t>Технолого-економічного коледжу</t>
  </si>
  <si>
    <t xml:space="preserve"> Миколаївського національного аграрного університету </t>
  </si>
  <si>
    <t xml:space="preserve">станом з 01.01.2015 року по спеціальному фонду </t>
  </si>
  <si>
    <t xml:space="preserve">станом  з  01.01.2015 року по загальному фонду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</si>
</sst>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9"/>
      <color indexed="17"/>
      <name val="Arial Cyr"/>
      <family val="0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sz val="9"/>
      <color rgb="FF00B050"/>
      <name val="Arial Cyr"/>
      <family val="0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b/>
      <sz val="10"/>
      <color rgb="FF00B050"/>
      <name val="Arial Cyr"/>
      <family val="0"/>
    </font>
    <font>
      <b/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177" fontId="3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8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33" borderId="0" xfId="0" applyFont="1" applyFill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22" xfId="0" applyFont="1" applyBorder="1" applyAlignment="1">
      <alignment/>
    </xf>
    <xf numFmtId="0" fontId="51" fillId="0" borderId="0" xfId="0" applyFont="1" applyAlignment="1">
      <alignment/>
    </xf>
    <xf numFmtId="0" fontId="52" fillId="0" borderId="22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8" fillId="0" borderId="2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360"/>
  <sheetViews>
    <sheetView zoomScalePageLayoutView="0" workbookViewId="0" topLeftCell="A73">
      <selection activeCell="B336" sqref="B336:V360"/>
    </sheetView>
  </sheetViews>
  <sheetFormatPr defaultColWidth="9.00390625" defaultRowHeight="12.75"/>
  <cols>
    <col min="2" max="2" width="34.375" style="0" customWidth="1"/>
    <col min="3" max="3" width="32.75390625" style="0" customWidth="1"/>
    <col min="4" max="4" width="32.00390625" style="0" customWidth="1"/>
    <col min="6" max="6" width="35.875" style="0" customWidth="1"/>
    <col min="7" max="7" width="10.25390625" style="0" customWidth="1"/>
    <col min="8" max="8" width="11.25390625" style="0" customWidth="1"/>
    <col min="9" max="9" width="10.375" style="0" customWidth="1"/>
    <col min="10" max="10" width="10.75390625" style="0" customWidth="1"/>
    <col min="11" max="11" width="10.25390625" style="0" customWidth="1"/>
    <col min="12" max="12" width="9.25390625" style="0" customWidth="1"/>
    <col min="14" max="14" width="30.125" style="0" customWidth="1"/>
    <col min="15" max="15" width="9.875" style="0" customWidth="1"/>
    <col min="16" max="16" width="16.75390625" style="0" customWidth="1"/>
    <col min="17" max="17" width="15.00390625" style="0" customWidth="1"/>
    <col min="18" max="18" width="14.25390625" style="0" customWidth="1"/>
    <col min="20" max="20" width="41.125" style="0" customWidth="1"/>
    <col min="21" max="21" width="10.375" style="0" customWidth="1"/>
    <col min="22" max="22" width="22.25390625" style="0" customWidth="1"/>
    <col min="23" max="23" width="10.25390625" style="0" customWidth="1"/>
  </cols>
  <sheetData>
    <row r="4" spans="2:4" ht="15.75">
      <c r="B4" s="83" t="s">
        <v>0</v>
      </c>
      <c r="C4" s="83"/>
      <c r="D4" s="83"/>
    </row>
    <row r="5" spans="2:4" ht="15.75">
      <c r="B5" s="83" t="s">
        <v>1</v>
      </c>
      <c r="C5" s="83"/>
      <c r="D5" s="83"/>
    </row>
    <row r="6" spans="2:4" ht="15.75">
      <c r="B6" s="83" t="s">
        <v>2</v>
      </c>
      <c r="C6" s="83"/>
      <c r="D6" s="83"/>
    </row>
    <row r="7" ht="15.75">
      <c r="B7" s="1"/>
    </row>
    <row r="8" spans="2:4" ht="15.75">
      <c r="B8" s="2"/>
      <c r="C8" s="2" t="s">
        <v>3</v>
      </c>
      <c r="D8" s="2" t="s">
        <v>4</v>
      </c>
    </row>
    <row r="9" spans="2:4" ht="15.75">
      <c r="B9" s="2">
        <v>1</v>
      </c>
      <c r="C9" s="2">
        <v>2</v>
      </c>
      <c r="D9" s="2">
        <v>3</v>
      </c>
    </row>
    <row r="10" spans="2:4" ht="30" customHeight="1">
      <c r="B10" s="3" t="s">
        <v>5</v>
      </c>
      <c r="C10" s="2"/>
      <c r="D10" s="2"/>
    </row>
    <row r="11" spans="2:4" ht="18" customHeight="1">
      <c r="B11" s="4" t="s">
        <v>6</v>
      </c>
      <c r="C11" s="2">
        <v>274</v>
      </c>
      <c r="D11" s="2">
        <v>94</v>
      </c>
    </row>
    <row r="12" spans="2:4" ht="29.25" customHeight="1">
      <c r="B12" s="4" t="s">
        <v>7</v>
      </c>
      <c r="C12" s="2">
        <v>1645</v>
      </c>
      <c r="D12" s="2">
        <v>1446</v>
      </c>
    </row>
    <row r="13" spans="2:4" ht="33.75" customHeight="1">
      <c r="B13" s="4" t="s">
        <v>31</v>
      </c>
      <c r="C13" s="5">
        <f>C11*C12*12/1000</f>
        <v>5408.76</v>
      </c>
      <c r="D13" s="5">
        <f>D11*D12*12/1000</f>
        <v>1631.088</v>
      </c>
    </row>
    <row r="14" spans="2:4" ht="33" customHeight="1">
      <c r="B14" s="4" t="s">
        <v>9</v>
      </c>
      <c r="C14" s="5">
        <f>C15+C17</f>
        <v>2120.2339199999997</v>
      </c>
      <c r="D14" s="5">
        <f>D15+D17</f>
        <v>425.71396799999997</v>
      </c>
    </row>
    <row r="15" spans="2:4" ht="18" customHeight="1">
      <c r="B15" s="4" t="s">
        <v>10</v>
      </c>
      <c r="C15" s="5">
        <f>C13*C16/100</f>
        <v>919.4892</v>
      </c>
      <c r="D15" s="5">
        <f>D13*D16/100</f>
        <v>195.73056</v>
      </c>
    </row>
    <row r="16" spans="2:4" ht="17.25" customHeight="1">
      <c r="B16" s="4" t="s">
        <v>11</v>
      </c>
      <c r="C16" s="5">
        <v>17</v>
      </c>
      <c r="D16" s="5">
        <v>12</v>
      </c>
    </row>
    <row r="17" spans="2:4" ht="29.25" customHeight="1">
      <c r="B17" s="4" t="s">
        <v>33</v>
      </c>
      <c r="C17" s="5">
        <f>C13*C18/100</f>
        <v>1200.74472</v>
      </c>
      <c r="D17" s="5">
        <f>D13*D18/100</f>
        <v>229.98340799999997</v>
      </c>
    </row>
    <row r="18" spans="2:4" ht="17.25" customHeight="1">
      <c r="B18" s="4" t="s">
        <v>11</v>
      </c>
      <c r="C18" s="2">
        <v>22.2</v>
      </c>
      <c r="D18" s="2">
        <v>14.1</v>
      </c>
    </row>
    <row r="19" spans="2:4" ht="18.75" customHeight="1">
      <c r="B19" s="4" t="s">
        <v>12</v>
      </c>
      <c r="C19" s="2">
        <v>420.8</v>
      </c>
      <c r="D19" s="2">
        <v>113.5</v>
      </c>
    </row>
    <row r="20" spans="2:4" ht="15.75" customHeight="1">
      <c r="B20" s="4" t="s">
        <v>13</v>
      </c>
      <c r="C20" s="2">
        <v>313.9</v>
      </c>
      <c r="D20" s="2">
        <v>458.2</v>
      </c>
    </row>
    <row r="21" spans="2:4" ht="30" customHeight="1">
      <c r="B21" s="4" t="s">
        <v>14</v>
      </c>
      <c r="C21" s="2"/>
      <c r="D21" s="2"/>
    </row>
    <row r="22" spans="2:4" ht="18" customHeight="1">
      <c r="B22" s="2"/>
      <c r="C22" s="2"/>
      <c r="D22" s="2"/>
    </row>
    <row r="23" spans="2:4" ht="30" customHeight="1">
      <c r="B23" s="3" t="s">
        <v>15</v>
      </c>
      <c r="C23" s="2"/>
      <c r="D23" s="2"/>
    </row>
    <row r="24" spans="2:4" ht="16.5" customHeight="1">
      <c r="B24" s="4" t="s">
        <v>6</v>
      </c>
      <c r="C24" s="2">
        <v>17</v>
      </c>
      <c r="D24" s="2">
        <v>46</v>
      </c>
    </row>
    <row r="25" spans="2:4" ht="30" customHeight="1">
      <c r="B25" s="4" t="s">
        <v>7</v>
      </c>
      <c r="C25" s="2">
        <v>1774</v>
      </c>
      <c r="D25" s="2">
        <v>1417</v>
      </c>
    </row>
    <row r="26" spans="2:4" ht="15" customHeight="1">
      <c r="B26" s="4" t="s">
        <v>8</v>
      </c>
      <c r="C26" s="5">
        <f>C25*C24*12/1000</f>
        <v>361.896</v>
      </c>
      <c r="D26" s="5">
        <f>D25*D24*12/1000</f>
        <v>782.184</v>
      </c>
    </row>
    <row r="27" spans="2:4" ht="32.25" customHeight="1">
      <c r="B27" s="4" t="s">
        <v>9</v>
      </c>
      <c r="C27" s="5">
        <f>C28+C30</f>
        <v>213.156744</v>
      </c>
      <c r="D27" s="5">
        <f>D28+D30</f>
        <v>132.97128</v>
      </c>
    </row>
    <row r="28" spans="2:4" ht="15" customHeight="1">
      <c r="B28" s="4" t="s">
        <v>10</v>
      </c>
      <c r="C28" s="5">
        <f>C26*C29/100</f>
        <v>69.484032</v>
      </c>
      <c r="D28" s="5">
        <f>D26*D29/100</f>
        <v>78.2184</v>
      </c>
    </row>
    <row r="29" spans="2:4" ht="15.75" customHeight="1">
      <c r="B29" s="4" t="s">
        <v>11</v>
      </c>
      <c r="C29" s="2">
        <v>19.2</v>
      </c>
      <c r="D29" s="5">
        <v>10</v>
      </c>
    </row>
    <row r="30" spans="2:4" ht="30.75" customHeight="1">
      <c r="B30" s="4" t="s">
        <v>32</v>
      </c>
      <c r="C30" s="5">
        <f>C26*C31/100</f>
        <v>143.67271200000002</v>
      </c>
      <c r="D30" s="5">
        <f>D26*D31/100</f>
        <v>54.75288</v>
      </c>
    </row>
    <row r="31" spans="2:4" ht="15.75" customHeight="1">
      <c r="B31" s="4" t="s">
        <v>11</v>
      </c>
      <c r="C31" s="2">
        <v>39.7</v>
      </c>
      <c r="D31" s="5">
        <v>7</v>
      </c>
    </row>
    <row r="32" spans="2:4" ht="16.5" customHeight="1">
      <c r="B32" s="4" t="s">
        <v>12</v>
      </c>
      <c r="C32" s="2">
        <v>30.1</v>
      </c>
      <c r="D32" s="2"/>
    </row>
    <row r="33" spans="2:4" ht="17.25" customHeight="1">
      <c r="B33" s="4" t="s">
        <v>13</v>
      </c>
      <c r="C33" s="2"/>
      <c r="D33" s="2"/>
    </row>
    <row r="34" spans="2:4" ht="31.5" customHeight="1">
      <c r="B34" s="4" t="s">
        <v>14</v>
      </c>
      <c r="C34" s="2"/>
      <c r="D34" s="2"/>
    </row>
    <row r="35" spans="2:4" ht="15" customHeight="1">
      <c r="B35" s="4"/>
      <c r="C35" s="2"/>
      <c r="D35" s="2"/>
    </row>
    <row r="36" spans="2:4" ht="48" customHeight="1">
      <c r="B36" s="3" t="s">
        <v>16</v>
      </c>
      <c r="C36" s="2"/>
      <c r="D36" s="2"/>
    </row>
    <row r="37" spans="2:4" ht="15.75" customHeight="1">
      <c r="B37" s="4" t="s">
        <v>6</v>
      </c>
      <c r="C37" s="2">
        <v>29</v>
      </c>
      <c r="D37" s="2">
        <v>29</v>
      </c>
    </row>
    <row r="38" spans="2:4" ht="31.5" customHeight="1">
      <c r="B38" s="4" t="s">
        <v>7</v>
      </c>
      <c r="C38" s="2">
        <v>1029</v>
      </c>
      <c r="D38" s="2">
        <v>922</v>
      </c>
    </row>
    <row r="39" spans="2:4" ht="15" customHeight="1">
      <c r="B39" s="4" t="s">
        <v>8</v>
      </c>
      <c r="C39" s="5">
        <f>C38*C37/1000*12</f>
        <v>358.092</v>
      </c>
      <c r="D39" s="5">
        <f>D38*D37/1000*12</f>
        <v>320.856</v>
      </c>
    </row>
    <row r="40" spans="2:4" ht="30.75" customHeight="1">
      <c r="B40" s="4" t="s">
        <v>34</v>
      </c>
      <c r="C40" s="5">
        <f>C41</f>
        <v>39.390119999999996</v>
      </c>
      <c r="D40" s="5">
        <f>D41</f>
        <v>32.0856</v>
      </c>
    </row>
    <row r="41" spans="2:4" ht="17.25" customHeight="1">
      <c r="B41" s="4" t="s">
        <v>17</v>
      </c>
      <c r="C41" s="5">
        <f>C39*C42/100</f>
        <v>39.390119999999996</v>
      </c>
      <c r="D41" s="5">
        <f>D39*D42/100</f>
        <v>32.0856</v>
      </c>
    </row>
    <row r="42" spans="2:4" ht="15.75" customHeight="1">
      <c r="B42" s="4" t="s">
        <v>11</v>
      </c>
      <c r="C42" s="5">
        <v>11</v>
      </c>
      <c r="D42" s="5">
        <v>10</v>
      </c>
    </row>
    <row r="43" spans="2:4" ht="17.25" customHeight="1">
      <c r="B43" s="4" t="s">
        <v>12</v>
      </c>
      <c r="C43" s="2"/>
      <c r="D43" s="2"/>
    </row>
    <row r="44" spans="2:4" ht="41.25" customHeight="1">
      <c r="B44" s="4" t="s">
        <v>18</v>
      </c>
      <c r="C44" s="2"/>
      <c r="D44" s="2"/>
    </row>
    <row r="45" spans="2:4" ht="15.75">
      <c r="B45" s="4"/>
      <c r="C45" s="2"/>
      <c r="D45" s="2"/>
    </row>
    <row r="46" spans="2:4" ht="12.75">
      <c r="B46" s="6"/>
      <c r="C46" s="6"/>
      <c r="D46" s="6"/>
    </row>
    <row r="47" spans="2:4" ht="15.75">
      <c r="B47" s="7" t="s">
        <v>19</v>
      </c>
      <c r="C47" s="2"/>
      <c r="D47" s="2"/>
    </row>
    <row r="48" spans="2:4" ht="15.75">
      <c r="B48" s="4" t="s">
        <v>6</v>
      </c>
      <c r="C48" s="2">
        <v>180</v>
      </c>
      <c r="D48" s="2">
        <v>29</v>
      </c>
    </row>
    <row r="49" spans="2:4" ht="31.5">
      <c r="B49" s="4" t="s">
        <v>7</v>
      </c>
      <c r="C49" s="2">
        <v>808</v>
      </c>
      <c r="D49" s="2">
        <v>852</v>
      </c>
    </row>
    <row r="50" spans="2:4" ht="15.75">
      <c r="B50" s="4" t="s">
        <v>8</v>
      </c>
      <c r="C50" s="5">
        <f>C48*C49*12/1000</f>
        <v>1745.28</v>
      </c>
      <c r="D50" s="5">
        <f>D48*D49*12/1000</f>
        <v>296.496</v>
      </c>
    </row>
    <row r="51" spans="2:4" ht="31.5">
      <c r="B51" s="4" t="s">
        <v>20</v>
      </c>
      <c r="C51" s="2">
        <v>584.7</v>
      </c>
      <c r="D51" s="2">
        <v>64.7</v>
      </c>
    </row>
    <row r="52" spans="2:4" ht="15.75">
      <c r="B52" s="4" t="s">
        <v>21</v>
      </c>
      <c r="C52" s="2"/>
      <c r="D52" s="2"/>
    </row>
    <row r="53" spans="2:4" ht="15.75">
      <c r="B53" s="4"/>
      <c r="C53" s="2"/>
      <c r="D53" s="2"/>
    </row>
    <row r="54" spans="2:4" ht="15.75">
      <c r="B54" s="7" t="s">
        <v>22</v>
      </c>
      <c r="C54" s="2"/>
      <c r="D54" s="2"/>
    </row>
    <row r="55" spans="2:4" ht="15.75">
      <c r="B55" s="4" t="s">
        <v>6</v>
      </c>
      <c r="C55" s="2">
        <v>135</v>
      </c>
      <c r="D55" s="2">
        <v>142</v>
      </c>
    </row>
    <row r="56" spans="2:4" ht="31.5">
      <c r="B56" s="4" t="s">
        <v>7</v>
      </c>
      <c r="C56" s="2">
        <v>561</v>
      </c>
      <c r="D56" s="2">
        <v>659</v>
      </c>
    </row>
    <row r="57" spans="2:4" ht="15.75">
      <c r="B57" s="4" t="s">
        <v>8</v>
      </c>
      <c r="C57" s="5">
        <f>C56*C55*12/1000</f>
        <v>908.82</v>
      </c>
      <c r="D57" s="5">
        <f>D56*D55*12/1000</f>
        <v>1122.936</v>
      </c>
    </row>
    <row r="58" spans="2:4" ht="31.5">
      <c r="B58" s="4" t="s">
        <v>23</v>
      </c>
      <c r="C58" s="2">
        <v>1.2</v>
      </c>
      <c r="D58" s="2"/>
    </row>
    <row r="59" spans="2:4" ht="31.5">
      <c r="B59" s="4" t="s">
        <v>20</v>
      </c>
      <c r="C59" s="2">
        <v>13.8</v>
      </c>
      <c r="D59" s="2">
        <v>69.5</v>
      </c>
    </row>
    <row r="60" spans="2:4" ht="15.75">
      <c r="B60" s="4" t="s">
        <v>21</v>
      </c>
      <c r="C60" s="2"/>
      <c r="D60" s="2"/>
    </row>
    <row r="61" spans="2:4" ht="15.75">
      <c r="B61" s="7" t="s">
        <v>24</v>
      </c>
      <c r="C61" s="7"/>
      <c r="D61" s="7"/>
    </row>
    <row r="62" spans="2:4" ht="31.5">
      <c r="B62" s="4" t="s">
        <v>25</v>
      </c>
      <c r="C62" s="2">
        <f>C11+C24+C37+C48+C55</f>
        <v>635</v>
      </c>
      <c r="D62" s="2">
        <f>D11+D24+D37+D48+D55</f>
        <v>340</v>
      </c>
    </row>
    <row r="63" spans="2:4" ht="31.5">
      <c r="B63" s="4" t="s">
        <v>26</v>
      </c>
      <c r="C63" s="5">
        <f>C13+C26+C39+C50+C57</f>
        <v>8782.848</v>
      </c>
      <c r="D63" s="5">
        <f>D13+D26+D39+D50+D57</f>
        <v>4153.5599999999995</v>
      </c>
    </row>
    <row r="64" spans="2:4" ht="31.5">
      <c r="B64" s="4" t="s">
        <v>27</v>
      </c>
      <c r="C64" s="5">
        <f>C15+C28+C41+C58</f>
        <v>1029.563352</v>
      </c>
      <c r="D64" s="5">
        <f>D15+D28+D41+D58</f>
        <v>306.03456</v>
      </c>
    </row>
    <row r="65" spans="2:4" ht="31.5">
      <c r="B65" s="4" t="s">
        <v>28</v>
      </c>
      <c r="C65" s="5">
        <f>C17+C30</f>
        <v>1344.417432</v>
      </c>
      <c r="D65" s="5">
        <f>D17+D30</f>
        <v>284.73628799999994</v>
      </c>
    </row>
    <row r="66" spans="2:4" ht="31.5">
      <c r="B66" s="4" t="s">
        <v>12</v>
      </c>
      <c r="C66" s="2">
        <f>C19+C32</f>
        <v>450.90000000000003</v>
      </c>
      <c r="D66" s="2">
        <f>D19+D32</f>
        <v>113.5</v>
      </c>
    </row>
    <row r="67" spans="2:4" ht="15.75">
      <c r="B67" s="4" t="s">
        <v>21</v>
      </c>
      <c r="C67" s="2"/>
      <c r="D67" s="2"/>
    </row>
    <row r="68" spans="2:4" ht="15.75">
      <c r="B68" s="4" t="s">
        <v>13</v>
      </c>
      <c r="C68" s="2">
        <f>C20</f>
        <v>313.9</v>
      </c>
      <c r="D68" s="2">
        <f>D20</f>
        <v>458.2</v>
      </c>
    </row>
    <row r="69" spans="2:4" ht="47.25">
      <c r="B69" s="4" t="s">
        <v>29</v>
      </c>
      <c r="C69" s="2"/>
      <c r="D69" s="2"/>
    </row>
    <row r="70" spans="2:4" ht="32.25" customHeight="1">
      <c r="B70" s="4" t="s">
        <v>20</v>
      </c>
      <c r="C70" s="2">
        <f>C51+C59</f>
        <v>598.5</v>
      </c>
      <c r="D70" s="2">
        <f>D51+D59</f>
        <v>134.2</v>
      </c>
    </row>
    <row r="71" spans="2:4" ht="31.5">
      <c r="B71" s="7" t="s">
        <v>30</v>
      </c>
      <c r="C71" s="5">
        <f>C63+C64+C65+C66+C68+C67+C69+C70</f>
        <v>12520.128783999999</v>
      </c>
      <c r="D71" s="5">
        <f>D63+D64+D65+D66+D68+D67+D69+D70</f>
        <v>5450.230847999999</v>
      </c>
    </row>
    <row r="72" ht="15.75">
      <c r="B72" s="1"/>
    </row>
    <row r="74" spans="2:4" ht="15.75">
      <c r="B74" s="83"/>
      <c r="C74" s="83"/>
      <c r="D74" s="83"/>
    </row>
    <row r="75" spans="2:4" ht="15.75">
      <c r="B75" s="83"/>
      <c r="C75" s="83"/>
      <c r="D75" s="83"/>
    </row>
    <row r="76" spans="2:4" ht="15.75">
      <c r="B76" s="83" t="s">
        <v>0</v>
      </c>
      <c r="C76" s="83"/>
      <c r="D76" s="83"/>
    </row>
    <row r="77" spans="2:4" ht="15.75">
      <c r="B77" s="83" t="s">
        <v>1</v>
      </c>
      <c r="C77" s="83"/>
      <c r="D77" s="83"/>
    </row>
    <row r="78" spans="2:4" ht="15.75">
      <c r="B78" s="83" t="s">
        <v>2</v>
      </c>
      <c r="C78" s="83"/>
      <c r="D78" s="83"/>
    </row>
    <row r="79" ht="15.75">
      <c r="B79" s="1"/>
    </row>
    <row r="80" spans="2:4" ht="15.75">
      <c r="B80" s="2"/>
      <c r="C80" s="2" t="s">
        <v>3</v>
      </c>
      <c r="D80" s="2" t="s">
        <v>4</v>
      </c>
    </row>
    <row r="81" spans="2:4" ht="15.75">
      <c r="B81" s="2">
        <v>1</v>
      </c>
      <c r="C81" s="2">
        <v>2</v>
      </c>
      <c r="D81" s="2">
        <v>3</v>
      </c>
    </row>
    <row r="82" spans="2:4" ht="31.5">
      <c r="B82" s="3" t="s">
        <v>5</v>
      </c>
      <c r="C82" s="2"/>
      <c r="D82" s="2"/>
    </row>
    <row r="83" spans="2:4" ht="15.75">
      <c r="B83" s="4" t="s">
        <v>6</v>
      </c>
      <c r="C83" s="2">
        <v>274</v>
      </c>
      <c r="D83" s="2">
        <v>114</v>
      </c>
    </row>
    <row r="84" spans="2:4" ht="31.5">
      <c r="B84" s="4" t="s">
        <v>7</v>
      </c>
      <c r="C84" s="2">
        <v>1645</v>
      </c>
      <c r="D84" s="2">
        <v>1446</v>
      </c>
    </row>
    <row r="85" spans="2:4" ht="31.5">
      <c r="B85" s="4" t="s">
        <v>31</v>
      </c>
      <c r="C85" s="5">
        <f>C83*C84*12/1000</f>
        <v>5408.76</v>
      </c>
      <c r="D85" s="5">
        <f>D83*D84*12/1000</f>
        <v>1978.128</v>
      </c>
    </row>
    <row r="86" spans="2:4" ht="47.25">
      <c r="B86" s="4" t="s">
        <v>9</v>
      </c>
      <c r="C86" s="5">
        <f>C87+C89</f>
        <v>2012.05872</v>
      </c>
      <c r="D86" s="5">
        <f>D87+D89</f>
        <v>516.291408</v>
      </c>
    </row>
    <row r="87" spans="2:4" ht="15.75">
      <c r="B87" s="4" t="s">
        <v>10</v>
      </c>
      <c r="C87" s="5">
        <f>C85*C88/100</f>
        <v>919.4892</v>
      </c>
      <c r="D87" s="5">
        <f>D85*D88/100</f>
        <v>237.37536</v>
      </c>
    </row>
    <row r="88" spans="2:4" ht="15.75">
      <c r="B88" s="4" t="s">
        <v>11</v>
      </c>
      <c r="C88" s="5">
        <v>17</v>
      </c>
      <c r="D88" s="5">
        <v>12</v>
      </c>
    </row>
    <row r="89" spans="2:4" ht="31.5">
      <c r="B89" s="4" t="s">
        <v>33</v>
      </c>
      <c r="C89" s="5">
        <f>C85*C90/100</f>
        <v>1092.56952</v>
      </c>
      <c r="D89" s="5">
        <f>D85*D90/100</f>
        <v>278.916048</v>
      </c>
    </row>
    <row r="90" spans="2:4" ht="15.75">
      <c r="B90" s="4" t="s">
        <v>11</v>
      </c>
      <c r="C90" s="2">
        <v>20.2</v>
      </c>
      <c r="D90" s="2">
        <v>14.1</v>
      </c>
    </row>
    <row r="91" spans="2:4" ht="31.5">
      <c r="B91" s="4" t="s">
        <v>12</v>
      </c>
      <c r="C91" s="2">
        <v>410.8</v>
      </c>
      <c r="D91" s="2">
        <v>113.5</v>
      </c>
    </row>
    <row r="92" spans="2:4" ht="15.75">
      <c r="B92" s="4" t="s">
        <v>13</v>
      </c>
      <c r="C92" s="2">
        <v>277.9</v>
      </c>
      <c r="D92" s="2">
        <v>518.2</v>
      </c>
    </row>
    <row r="93" spans="2:4" ht="31.5">
      <c r="B93" s="4" t="s">
        <v>14</v>
      </c>
      <c r="C93" s="2"/>
      <c r="D93" s="2"/>
    </row>
    <row r="94" spans="2:4" ht="15.75">
      <c r="B94" s="2"/>
      <c r="C94" s="2"/>
      <c r="D94" s="2"/>
    </row>
    <row r="95" spans="2:4" ht="31.5">
      <c r="B95" s="3" t="s">
        <v>15</v>
      </c>
      <c r="C95" s="2"/>
      <c r="D95" s="2"/>
    </row>
    <row r="96" spans="2:4" ht="15.75">
      <c r="B96" s="4" t="s">
        <v>6</v>
      </c>
      <c r="C96" s="2">
        <v>18</v>
      </c>
      <c r="D96" s="2">
        <v>46</v>
      </c>
    </row>
    <row r="97" spans="2:4" ht="31.5">
      <c r="B97" s="4" t="s">
        <v>7</v>
      </c>
      <c r="C97" s="2">
        <v>1774</v>
      </c>
      <c r="D97" s="2">
        <v>1417</v>
      </c>
    </row>
    <row r="98" spans="2:4" ht="15.75">
      <c r="B98" s="4" t="s">
        <v>8</v>
      </c>
      <c r="C98" s="5">
        <f>C97*C96*12/1000</f>
        <v>383.184</v>
      </c>
      <c r="D98" s="5">
        <f>D97*D96*12/1000</f>
        <v>782.184</v>
      </c>
    </row>
    <row r="99" spans="2:4" ht="47.25">
      <c r="B99" s="4" t="s">
        <v>9</v>
      </c>
      <c r="C99" s="5">
        <f>C100+C102</f>
        <v>225.695376</v>
      </c>
      <c r="D99" s="5">
        <f>D100+D102</f>
        <v>132.97128</v>
      </c>
    </row>
    <row r="100" spans="2:4" ht="15.75">
      <c r="B100" s="4" t="s">
        <v>10</v>
      </c>
      <c r="C100" s="5">
        <f>C98*C101/100</f>
        <v>73.57132800000001</v>
      </c>
      <c r="D100" s="5">
        <f>D98*D101/100</f>
        <v>78.2184</v>
      </c>
    </row>
    <row r="101" spans="2:4" ht="15.75">
      <c r="B101" s="4" t="s">
        <v>11</v>
      </c>
      <c r="C101" s="2">
        <v>19.2</v>
      </c>
      <c r="D101" s="5">
        <v>10</v>
      </c>
    </row>
    <row r="102" spans="2:4" ht="31.5">
      <c r="B102" s="4" t="s">
        <v>32</v>
      </c>
      <c r="C102" s="5">
        <f>C98*C103/100</f>
        <v>152.12404800000002</v>
      </c>
      <c r="D102" s="5">
        <f>D98*D103/100</f>
        <v>54.75288</v>
      </c>
    </row>
    <row r="103" spans="2:4" ht="15.75">
      <c r="B103" s="4" t="s">
        <v>11</v>
      </c>
      <c r="C103" s="2">
        <v>39.7</v>
      </c>
      <c r="D103" s="5">
        <v>7</v>
      </c>
    </row>
    <row r="104" spans="2:4" ht="31.5">
      <c r="B104" s="4" t="s">
        <v>12</v>
      </c>
      <c r="C104" s="2">
        <v>30.1</v>
      </c>
      <c r="D104" s="2"/>
    </row>
    <row r="105" spans="2:4" ht="15.75">
      <c r="B105" s="4" t="s">
        <v>13</v>
      </c>
      <c r="C105" s="2"/>
      <c r="D105" s="2"/>
    </row>
    <row r="106" spans="2:4" ht="31.5">
      <c r="B106" s="4" t="s">
        <v>14</v>
      </c>
      <c r="C106" s="2"/>
      <c r="D106" s="2"/>
    </row>
    <row r="107" spans="2:4" ht="15.75">
      <c r="B107" s="4"/>
      <c r="C107" s="2"/>
      <c r="D107" s="2"/>
    </row>
    <row r="108" spans="2:4" ht="47.25">
      <c r="B108" s="3" t="s">
        <v>16</v>
      </c>
      <c r="C108" s="2"/>
      <c r="D108" s="2"/>
    </row>
    <row r="109" spans="2:4" ht="15.75">
      <c r="B109" s="4" t="s">
        <v>6</v>
      </c>
      <c r="C109" s="2">
        <v>32</v>
      </c>
      <c r="D109" s="2">
        <v>29</v>
      </c>
    </row>
    <row r="110" spans="2:4" ht="31.5">
      <c r="B110" s="4" t="s">
        <v>7</v>
      </c>
      <c r="C110" s="2">
        <v>1029</v>
      </c>
      <c r="D110" s="2">
        <v>922</v>
      </c>
    </row>
    <row r="111" spans="2:4" ht="15.75">
      <c r="B111" s="4" t="s">
        <v>8</v>
      </c>
      <c r="C111" s="5">
        <f>C110*C109/1000*12</f>
        <v>395.13599999999997</v>
      </c>
      <c r="D111" s="5">
        <f>D110*D109/1000*12</f>
        <v>320.856</v>
      </c>
    </row>
    <row r="112" spans="2:4" ht="31.5">
      <c r="B112" s="4" t="s">
        <v>34</v>
      </c>
      <c r="C112" s="5">
        <f>C113</f>
        <v>43.46495999999999</v>
      </c>
      <c r="D112" s="5">
        <f>D113</f>
        <v>32.0856</v>
      </c>
    </row>
    <row r="113" spans="2:4" ht="15.75">
      <c r="B113" s="4" t="s">
        <v>17</v>
      </c>
      <c r="C113" s="5">
        <f>C111*C114/100</f>
        <v>43.46495999999999</v>
      </c>
      <c r="D113" s="5">
        <f>D111*D114/100</f>
        <v>32.0856</v>
      </c>
    </row>
    <row r="114" spans="2:4" ht="15.75">
      <c r="B114" s="4" t="s">
        <v>11</v>
      </c>
      <c r="C114" s="5">
        <v>11</v>
      </c>
      <c r="D114" s="5">
        <v>10</v>
      </c>
    </row>
    <row r="115" spans="2:4" ht="31.5">
      <c r="B115" s="4" t="s">
        <v>12</v>
      </c>
      <c r="C115" s="2"/>
      <c r="D115" s="2"/>
    </row>
    <row r="116" spans="2:4" ht="31.5">
      <c r="B116" s="4" t="s">
        <v>18</v>
      </c>
      <c r="C116" s="2"/>
      <c r="D116" s="2"/>
    </row>
    <row r="117" spans="2:4" ht="15.75">
      <c r="B117" s="4"/>
      <c r="C117" s="2"/>
      <c r="D117" s="2"/>
    </row>
    <row r="118" spans="2:4" ht="12.75">
      <c r="B118" s="6"/>
      <c r="C118" s="6"/>
      <c r="D118" s="6"/>
    </row>
    <row r="119" spans="2:4" ht="15.75">
      <c r="B119" s="7" t="s">
        <v>19</v>
      </c>
      <c r="C119" s="2"/>
      <c r="D119" s="2"/>
    </row>
    <row r="120" spans="2:4" ht="15.75">
      <c r="B120" s="4" t="s">
        <v>6</v>
      </c>
      <c r="C120" s="2">
        <v>184</v>
      </c>
      <c r="D120" s="2">
        <v>29</v>
      </c>
    </row>
    <row r="121" spans="2:4" ht="31.5">
      <c r="B121" s="4" t="s">
        <v>7</v>
      </c>
      <c r="C121" s="2">
        <v>808</v>
      </c>
      <c r="D121" s="2">
        <v>852</v>
      </c>
    </row>
    <row r="122" spans="2:4" ht="15.75">
      <c r="B122" s="4" t="s">
        <v>8</v>
      </c>
      <c r="C122" s="5">
        <f>C120*C121*12/1000</f>
        <v>1784.064</v>
      </c>
      <c r="D122" s="5">
        <f>D120*D121*12/1000</f>
        <v>296.496</v>
      </c>
    </row>
    <row r="123" spans="2:4" ht="31.5">
      <c r="B123" s="4" t="s">
        <v>20</v>
      </c>
      <c r="C123" s="2">
        <v>381.6</v>
      </c>
      <c r="D123" s="2">
        <v>64.7</v>
      </c>
    </row>
    <row r="124" spans="2:4" ht="15.75">
      <c r="B124" s="4" t="s">
        <v>21</v>
      </c>
      <c r="C124" s="2"/>
      <c r="D124" s="2"/>
    </row>
    <row r="125" spans="2:4" ht="15.75">
      <c r="B125" s="4"/>
      <c r="C125" s="2"/>
      <c r="D125" s="2"/>
    </row>
    <row r="126" spans="2:4" ht="15.75">
      <c r="B126" s="7" t="s">
        <v>22</v>
      </c>
      <c r="C126" s="2"/>
      <c r="D126" s="2"/>
    </row>
    <row r="127" spans="2:4" ht="15.75">
      <c r="B127" s="4" t="s">
        <v>6</v>
      </c>
      <c r="C127" s="2">
        <v>141</v>
      </c>
      <c r="D127" s="2">
        <v>142</v>
      </c>
    </row>
    <row r="128" spans="2:4" ht="31.5">
      <c r="B128" s="4" t="s">
        <v>7</v>
      </c>
      <c r="C128" s="2">
        <v>561</v>
      </c>
      <c r="D128" s="2">
        <v>659</v>
      </c>
    </row>
    <row r="129" spans="2:4" ht="15.75">
      <c r="B129" s="4" t="s">
        <v>8</v>
      </c>
      <c r="C129" s="5">
        <f>C128*C127*12/1000</f>
        <v>949.212</v>
      </c>
      <c r="D129" s="5">
        <f>D128*D127*12/1000</f>
        <v>1122.936</v>
      </c>
    </row>
    <row r="130" spans="2:4" ht="31.5">
      <c r="B130" s="4" t="s">
        <v>23</v>
      </c>
      <c r="C130" s="2">
        <v>1.2</v>
      </c>
      <c r="D130" s="2"/>
    </row>
    <row r="131" spans="2:4" ht="31.5">
      <c r="B131" s="4" t="s">
        <v>20</v>
      </c>
      <c r="C131" s="2">
        <v>13.8</v>
      </c>
      <c r="D131" s="2">
        <v>69.5</v>
      </c>
    </row>
    <row r="132" spans="2:4" ht="15.75">
      <c r="B132" s="4" t="s">
        <v>21</v>
      </c>
      <c r="C132" s="2"/>
      <c r="D132" s="2"/>
    </row>
    <row r="133" spans="2:4" ht="15.75">
      <c r="B133" s="7" t="s">
        <v>24</v>
      </c>
      <c r="C133" s="7"/>
      <c r="D133" s="7"/>
    </row>
    <row r="134" spans="2:4" ht="31.5">
      <c r="B134" s="4" t="s">
        <v>25</v>
      </c>
      <c r="C134" s="2">
        <f>C83+C96+C109+C120+C127</f>
        <v>649</v>
      </c>
      <c r="D134" s="2">
        <f>D83+D96+D109+D120+D127</f>
        <v>360</v>
      </c>
    </row>
    <row r="135" spans="2:4" ht="31.5">
      <c r="B135" s="4" t="s">
        <v>26</v>
      </c>
      <c r="C135" s="5">
        <f>C85+C98+C111+C122+C129</f>
        <v>8920.356</v>
      </c>
      <c r="D135" s="5">
        <f>D85+D98+D111+D122+D129</f>
        <v>4500.599999999999</v>
      </c>
    </row>
    <row r="136" spans="2:4" ht="31.5">
      <c r="B136" s="4" t="s">
        <v>27</v>
      </c>
      <c r="C136" s="5">
        <f>C87+C100+C113+C130</f>
        <v>1037.725488</v>
      </c>
      <c r="D136" s="5">
        <f>D87+D100+D113+D130</f>
        <v>347.67936</v>
      </c>
    </row>
    <row r="137" spans="2:4" ht="31.5">
      <c r="B137" s="4" t="s">
        <v>28</v>
      </c>
      <c r="C137" s="5">
        <f>C89+C102</f>
        <v>1244.6935680000001</v>
      </c>
      <c r="D137" s="5">
        <f>D89+D102</f>
        <v>333.668928</v>
      </c>
    </row>
    <row r="138" spans="2:4" ht="31.5">
      <c r="B138" s="4" t="s">
        <v>12</v>
      </c>
      <c r="C138" s="2">
        <f>C91+C104</f>
        <v>440.90000000000003</v>
      </c>
      <c r="D138" s="2">
        <f>D91+D104</f>
        <v>113.5</v>
      </c>
    </row>
    <row r="139" spans="2:4" ht="15.75">
      <c r="B139" s="4" t="s">
        <v>21</v>
      </c>
      <c r="C139" s="2"/>
      <c r="D139" s="2"/>
    </row>
    <row r="140" spans="2:4" ht="15.75">
      <c r="B140" s="4" t="s">
        <v>13</v>
      </c>
      <c r="C140" s="2">
        <f>C92</f>
        <v>277.9</v>
      </c>
      <c r="D140" s="2">
        <f>D92</f>
        <v>518.2</v>
      </c>
    </row>
    <row r="141" spans="2:4" ht="47.25">
      <c r="B141" s="4" t="s">
        <v>29</v>
      </c>
      <c r="C141" s="2"/>
      <c r="D141" s="2"/>
    </row>
    <row r="142" spans="2:4" ht="31.5">
      <c r="B142" s="4" t="s">
        <v>20</v>
      </c>
      <c r="C142" s="2">
        <f>C123+C131</f>
        <v>395.40000000000003</v>
      </c>
      <c r="D142" s="2">
        <f>D123+D131</f>
        <v>134.2</v>
      </c>
    </row>
    <row r="143" spans="2:4" ht="31.5">
      <c r="B143" s="7" t="s">
        <v>30</v>
      </c>
      <c r="C143" s="5">
        <f>C135+C136+C137+C138+C140+C139+C141+C142</f>
        <v>12316.975056</v>
      </c>
      <c r="D143" s="5">
        <f>D135+D136+D137+D138+D140+D139+D141+D142</f>
        <v>5947.848287999999</v>
      </c>
    </row>
    <row r="146" spans="2:4" ht="12.75">
      <c r="B146" s="8" t="s">
        <v>35</v>
      </c>
      <c r="D146" t="s">
        <v>68</v>
      </c>
    </row>
    <row r="147" spans="2:12" ht="15">
      <c r="B147" s="8"/>
      <c r="F147" s="10" t="s">
        <v>65</v>
      </c>
      <c r="G147" s="10"/>
      <c r="H147" s="10"/>
      <c r="I147" s="10"/>
      <c r="J147" s="10"/>
      <c r="K147" s="10"/>
      <c r="L147" s="11"/>
    </row>
    <row r="148" spans="6:12" ht="15">
      <c r="F148" s="11"/>
      <c r="G148" s="10" t="s">
        <v>66</v>
      </c>
      <c r="H148" s="10"/>
      <c r="I148" s="10"/>
      <c r="J148" s="11"/>
      <c r="K148" s="11"/>
      <c r="L148" s="11"/>
    </row>
    <row r="149" spans="6:12" ht="14.25">
      <c r="F149" s="11"/>
      <c r="G149" s="11"/>
      <c r="H149" s="11"/>
      <c r="I149" s="11"/>
      <c r="J149" s="11"/>
      <c r="K149" s="11"/>
      <c r="L149" s="11"/>
    </row>
    <row r="150" spans="6:12" ht="15">
      <c r="F150" s="10" t="s">
        <v>67</v>
      </c>
      <c r="G150" s="10"/>
      <c r="H150" s="10"/>
      <c r="I150" s="10"/>
      <c r="J150" s="10"/>
      <c r="K150" s="10"/>
      <c r="L150" s="11"/>
    </row>
    <row r="151" spans="6:12" ht="14.25">
      <c r="F151" s="11"/>
      <c r="G151" s="11"/>
      <c r="H151" s="11"/>
      <c r="I151" s="11"/>
      <c r="J151" s="11"/>
      <c r="K151" s="11"/>
      <c r="L151" s="11"/>
    </row>
    <row r="152" spans="6:12" ht="24.75" customHeight="1">
      <c r="F152" s="84"/>
      <c r="G152" s="86" t="s">
        <v>37</v>
      </c>
      <c r="H152" s="88" t="s">
        <v>38</v>
      </c>
      <c r="I152" s="89"/>
      <c r="J152" s="90" t="s">
        <v>39</v>
      </c>
      <c r="K152" s="91"/>
      <c r="L152" s="86" t="s">
        <v>40</v>
      </c>
    </row>
    <row r="153" spans="6:12" ht="82.5" customHeight="1">
      <c r="F153" s="85"/>
      <c r="G153" s="87"/>
      <c r="H153" s="13" t="s">
        <v>41</v>
      </c>
      <c r="I153" s="14" t="s">
        <v>42</v>
      </c>
      <c r="J153" s="15" t="s">
        <v>43</v>
      </c>
      <c r="K153" s="14" t="s">
        <v>42</v>
      </c>
      <c r="L153" s="87"/>
    </row>
    <row r="154" spans="6:12" ht="14.25">
      <c r="F154" s="16">
        <v>1</v>
      </c>
      <c r="G154" s="12">
        <v>2</v>
      </c>
      <c r="H154" s="16">
        <v>3</v>
      </c>
      <c r="I154" s="16">
        <v>4</v>
      </c>
      <c r="J154" s="16">
        <v>5</v>
      </c>
      <c r="K154" s="16">
        <v>6</v>
      </c>
      <c r="L154" s="16">
        <v>7</v>
      </c>
    </row>
    <row r="155" spans="6:12" ht="15">
      <c r="F155" s="17" t="s">
        <v>44</v>
      </c>
      <c r="G155" s="18">
        <v>649</v>
      </c>
      <c r="H155" s="18"/>
      <c r="I155" s="20">
        <f>I156+I171+I187+I193+I199+I203</f>
        <v>14899.236607999997</v>
      </c>
      <c r="J155" s="18"/>
      <c r="K155" s="20">
        <f>K156+K171+K187+K193+K199+K203</f>
        <v>14899.236607999997</v>
      </c>
      <c r="L155" s="18"/>
    </row>
    <row r="156" spans="6:12" ht="28.5" customHeight="1">
      <c r="F156" s="19" t="s">
        <v>45</v>
      </c>
      <c r="G156" s="18">
        <v>274</v>
      </c>
      <c r="H156" s="18">
        <v>1836</v>
      </c>
      <c r="I156" s="20">
        <f>I157+I158</f>
        <v>9907.344608</v>
      </c>
      <c r="J156" s="18">
        <v>1836</v>
      </c>
      <c r="K156" s="20">
        <f>K157+K158</f>
        <v>9907.344608</v>
      </c>
      <c r="L156" s="18"/>
    </row>
    <row r="157" spans="6:12" ht="17.25" customHeight="1">
      <c r="F157" s="9" t="s">
        <v>70</v>
      </c>
      <c r="G157" s="18">
        <v>274</v>
      </c>
      <c r="H157" s="18">
        <v>1836</v>
      </c>
      <c r="I157" s="20">
        <f>G157*H157*12/1000</f>
        <v>6036.768</v>
      </c>
      <c r="J157" s="18">
        <v>1836</v>
      </c>
      <c r="K157" s="20">
        <f>G157*J157*12/1000</f>
        <v>6036.768</v>
      </c>
      <c r="L157" s="18"/>
    </row>
    <row r="158" spans="6:12" ht="29.25">
      <c r="F158" s="9" t="s">
        <v>46</v>
      </c>
      <c r="G158" s="17"/>
      <c r="H158" s="18"/>
      <c r="I158" s="20">
        <f>I159+I160+I161+I165+I169+I170</f>
        <v>3870.576608</v>
      </c>
      <c r="J158" s="18"/>
      <c r="K158" s="20">
        <f>K159+K160+K161+K165+K169+K170</f>
        <v>3870.576608</v>
      </c>
      <c r="L158" s="18"/>
    </row>
    <row r="159" spans="6:14" ht="14.25">
      <c r="F159" s="18" t="s">
        <v>47</v>
      </c>
      <c r="G159" s="21"/>
      <c r="H159" s="21">
        <v>0.256</v>
      </c>
      <c r="I159" s="20">
        <f>I157*H159</f>
        <v>1545.412608</v>
      </c>
      <c r="J159" s="21">
        <v>0.256</v>
      </c>
      <c r="K159" s="20">
        <f>K157*J159</f>
        <v>1545.412608</v>
      </c>
      <c r="L159" s="18"/>
      <c r="N159" s="24"/>
    </row>
    <row r="160" spans="6:12" ht="14.25">
      <c r="F160" s="18" t="s">
        <v>48</v>
      </c>
      <c r="G160" s="18"/>
      <c r="H160" s="18">
        <v>1836</v>
      </c>
      <c r="I160" s="20">
        <f>I157/12</f>
        <v>503.064</v>
      </c>
      <c r="J160" s="18">
        <v>1836</v>
      </c>
      <c r="K160" s="20">
        <f>K157/12</f>
        <v>503.064</v>
      </c>
      <c r="L160" s="18"/>
    </row>
    <row r="161" spans="6:12" ht="14.25">
      <c r="F161" s="18" t="s">
        <v>49</v>
      </c>
      <c r="G161" s="21"/>
      <c r="H161" s="22"/>
      <c r="I161" s="20">
        <f>I163+I164</f>
        <v>1061.2</v>
      </c>
      <c r="J161" s="22"/>
      <c r="K161" s="20">
        <f>K163+K164</f>
        <v>1061.2</v>
      </c>
      <c r="L161" s="18"/>
    </row>
    <row r="162" spans="6:12" ht="14.25">
      <c r="F162" s="18" t="s">
        <v>50</v>
      </c>
      <c r="G162" s="18"/>
      <c r="H162" s="23"/>
      <c r="I162" s="20"/>
      <c r="J162" s="23"/>
      <c r="K162" s="20"/>
      <c r="L162" s="18"/>
    </row>
    <row r="163" spans="6:12" ht="14.25">
      <c r="F163" s="18" t="s">
        <v>51</v>
      </c>
      <c r="G163" s="21"/>
      <c r="H163" s="23">
        <v>2008</v>
      </c>
      <c r="I163" s="20">
        <v>362.7</v>
      </c>
      <c r="J163" s="23">
        <v>2008</v>
      </c>
      <c r="K163" s="20">
        <v>362.7</v>
      </c>
      <c r="L163" s="18"/>
    </row>
    <row r="164" spans="6:12" ht="14.25">
      <c r="F164" s="18" t="s">
        <v>52</v>
      </c>
      <c r="G164" s="21"/>
      <c r="H164" s="23">
        <v>1864</v>
      </c>
      <c r="I164" s="20">
        <v>698.5</v>
      </c>
      <c r="J164" s="23">
        <v>1864</v>
      </c>
      <c r="K164" s="20">
        <v>698.5</v>
      </c>
      <c r="L164" s="18"/>
    </row>
    <row r="165" spans="6:12" ht="14.25">
      <c r="F165" s="18" t="s">
        <v>53</v>
      </c>
      <c r="G165" s="18"/>
      <c r="H165" s="23"/>
      <c r="I165" s="20">
        <f>I167+I168</f>
        <v>595.1</v>
      </c>
      <c r="J165" s="23"/>
      <c r="K165" s="20">
        <f>K167+K168</f>
        <v>595.1</v>
      </c>
      <c r="L165" s="18"/>
    </row>
    <row r="166" spans="6:12" ht="14.25">
      <c r="F166" s="18" t="s">
        <v>50</v>
      </c>
      <c r="G166" s="18"/>
      <c r="H166" s="23"/>
      <c r="I166" s="20"/>
      <c r="J166" s="23"/>
      <c r="K166" s="20"/>
      <c r="L166" s="18"/>
    </row>
    <row r="167" spans="6:12" ht="14.25">
      <c r="F167" s="18" t="s">
        <v>54</v>
      </c>
      <c r="G167" s="21"/>
      <c r="H167" s="23">
        <v>2008</v>
      </c>
      <c r="I167" s="20">
        <v>195.4</v>
      </c>
      <c r="J167" s="23">
        <v>2008</v>
      </c>
      <c r="K167" s="20">
        <v>195.4</v>
      </c>
      <c r="L167" s="18"/>
    </row>
    <row r="168" spans="6:12" ht="14.25">
      <c r="F168" s="18" t="s">
        <v>55</v>
      </c>
      <c r="G168" s="21"/>
      <c r="H168" s="23">
        <v>1864</v>
      </c>
      <c r="I168" s="20">
        <v>399.7</v>
      </c>
      <c r="J168" s="23">
        <v>1864</v>
      </c>
      <c r="K168" s="20">
        <v>399.7</v>
      </c>
      <c r="L168" s="18"/>
    </row>
    <row r="169" spans="6:12" ht="14.25">
      <c r="F169" s="18" t="s">
        <v>56</v>
      </c>
      <c r="G169" s="18"/>
      <c r="H169" s="23">
        <v>1984</v>
      </c>
      <c r="I169" s="20">
        <v>90.3</v>
      </c>
      <c r="J169" s="23">
        <v>1984</v>
      </c>
      <c r="K169" s="20">
        <v>90.3</v>
      </c>
      <c r="L169" s="18"/>
    </row>
    <row r="170" spans="6:12" ht="14.25">
      <c r="F170" s="18" t="s">
        <v>71</v>
      </c>
      <c r="G170" s="18"/>
      <c r="H170" s="23">
        <v>1850</v>
      </c>
      <c r="I170" s="20">
        <v>75.5</v>
      </c>
      <c r="J170" s="23">
        <v>1850</v>
      </c>
      <c r="K170" s="20">
        <v>75.5</v>
      </c>
      <c r="L170" s="18"/>
    </row>
    <row r="171" spans="6:12" ht="55.5" customHeight="1">
      <c r="F171" s="19" t="s">
        <v>57</v>
      </c>
      <c r="G171" s="18">
        <v>18</v>
      </c>
      <c r="H171" s="18">
        <v>1968</v>
      </c>
      <c r="I171" s="20">
        <f>I172+I173+I185</f>
        <v>984.5880000000001</v>
      </c>
      <c r="J171" s="18">
        <v>1968</v>
      </c>
      <c r="K171" s="20">
        <f>K172+K173+K185</f>
        <v>984.5880000000001</v>
      </c>
      <c r="L171" s="18"/>
    </row>
    <row r="172" spans="6:12" ht="14.25">
      <c r="F172" s="9" t="s">
        <v>70</v>
      </c>
      <c r="G172" s="18">
        <v>18</v>
      </c>
      <c r="H172" s="18">
        <v>1968</v>
      </c>
      <c r="I172" s="20">
        <f>G172*H172*12/1000</f>
        <v>425.088</v>
      </c>
      <c r="J172" s="18">
        <v>1968</v>
      </c>
      <c r="K172" s="20">
        <f>G172*J172*12/1000</f>
        <v>425.088</v>
      </c>
      <c r="L172" s="18"/>
    </row>
    <row r="173" spans="6:16" ht="28.5">
      <c r="F173" s="9" t="s">
        <v>46</v>
      </c>
      <c r="G173" s="18"/>
      <c r="H173" s="18"/>
      <c r="I173" s="20">
        <f>I174+I175+I176+I180+I184</f>
        <v>316.6</v>
      </c>
      <c r="J173" s="18"/>
      <c r="K173" s="20">
        <f>K174+K175+K176+K180+K184</f>
        <v>316.6</v>
      </c>
      <c r="L173" s="18"/>
      <c r="P173">
        <v>0</v>
      </c>
    </row>
    <row r="174" spans="6:12" ht="14.25">
      <c r="F174" s="18" t="s">
        <v>47</v>
      </c>
      <c r="G174" s="18"/>
      <c r="H174" s="21">
        <v>0.279</v>
      </c>
      <c r="I174" s="20">
        <v>115.6</v>
      </c>
      <c r="J174" s="21">
        <v>0.279</v>
      </c>
      <c r="K174" s="20">
        <v>115.6</v>
      </c>
      <c r="L174" s="18"/>
    </row>
    <row r="175" spans="6:12" ht="14.25">
      <c r="F175" s="18" t="s">
        <v>48</v>
      </c>
      <c r="G175" s="18"/>
      <c r="H175" s="18">
        <v>1968</v>
      </c>
      <c r="I175" s="20">
        <v>35.4</v>
      </c>
      <c r="J175" s="18">
        <v>1968</v>
      </c>
      <c r="K175" s="20">
        <v>35.4</v>
      </c>
      <c r="L175" s="18"/>
    </row>
    <row r="176" spans="6:12" ht="14.25">
      <c r="F176" s="16" t="s">
        <v>69</v>
      </c>
      <c r="G176" s="18"/>
      <c r="H176" s="18"/>
      <c r="I176" s="20">
        <f>I178+I179</f>
        <v>94.9</v>
      </c>
      <c r="J176" s="18"/>
      <c r="K176" s="20">
        <f>K178+K179</f>
        <v>94.9</v>
      </c>
      <c r="L176" s="18"/>
    </row>
    <row r="177" spans="6:12" ht="14.25">
      <c r="F177" s="18" t="s">
        <v>50</v>
      </c>
      <c r="G177" s="18"/>
      <c r="H177" s="18"/>
      <c r="I177" s="20"/>
      <c r="J177" s="18"/>
      <c r="K177" s="20"/>
      <c r="L177" s="18"/>
    </row>
    <row r="178" spans="6:12" ht="14.25">
      <c r="F178" s="18" t="s">
        <v>51</v>
      </c>
      <c r="G178" s="21"/>
      <c r="H178" s="18">
        <v>2098</v>
      </c>
      <c r="I178" s="20">
        <v>16.6</v>
      </c>
      <c r="J178" s="18">
        <v>2098</v>
      </c>
      <c r="K178" s="20">
        <v>16.6</v>
      </c>
      <c r="L178" s="18"/>
    </row>
    <row r="179" spans="6:12" ht="14.25">
      <c r="F179" s="18" t="s">
        <v>52</v>
      </c>
      <c r="G179" s="21"/>
      <c r="H179" s="18">
        <v>1864</v>
      </c>
      <c r="I179" s="20">
        <v>78.3</v>
      </c>
      <c r="J179" s="18">
        <v>1864</v>
      </c>
      <c r="K179" s="20">
        <v>78.3</v>
      </c>
      <c r="L179" s="18"/>
    </row>
    <row r="180" spans="6:12" ht="14.25">
      <c r="F180" s="18" t="s">
        <v>53</v>
      </c>
      <c r="G180" s="18"/>
      <c r="H180" s="18"/>
      <c r="I180" s="20">
        <f>I182+I183</f>
        <v>59.6</v>
      </c>
      <c r="J180" s="18"/>
      <c r="K180" s="20">
        <f>K182+K183</f>
        <v>59.6</v>
      </c>
      <c r="L180" s="18"/>
    </row>
    <row r="181" spans="6:12" ht="14.25">
      <c r="F181" s="18" t="s">
        <v>50</v>
      </c>
      <c r="G181" s="18"/>
      <c r="H181" s="18"/>
      <c r="I181" s="20"/>
      <c r="J181" s="18"/>
      <c r="K181" s="20"/>
      <c r="L181" s="18"/>
    </row>
    <row r="182" spans="6:12" ht="14.25">
      <c r="F182" s="18" t="s">
        <v>54</v>
      </c>
      <c r="G182" s="21"/>
      <c r="H182" s="18">
        <v>2098</v>
      </c>
      <c r="I182" s="20">
        <v>12.6</v>
      </c>
      <c r="J182" s="18">
        <v>2098</v>
      </c>
      <c r="K182" s="20">
        <v>12.6</v>
      </c>
      <c r="L182" s="18"/>
    </row>
    <row r="183" spans="6:12" ht="14.25">
      <c r="F183" s="18" t="s">
        <v>55</v>
      </c>
      <c r="G183" s="21"/>
      <c r="H183" s="18">
        <v>1864</v>
      </c>
      <c r="I183" s="20">
        <v>47</v>
      </c>
      <c r="J183" s="18">
        <v>1864</v>
      </c>
      <c r="K183" s="20">
        <v>47</v>
      </c>
      <c r="L183" s="18"/>
    </row>
    <row r="184" spans="6:12" ht="14.25">
      <c r="F184" s="18" t="s">
        <v>56</v>
      </c>
      <c r="G184" s="18"/>
      <c r="H184" s="18">
        <v>2317</v>
      </c>
      <c r="I184" s="20">
        <v>11.1</v>
      </c>
      <c r="J184" s="18">
        <v>2317</v>
      </c>
      <c r="K184" s="20">
        <v>11.1</v>
      </c>
      <c r="L184" s="18"/>
    </row>
    <row r="185" spans="6:12" ht="14.25">
      <c r="F185" s="18" t="s">
        <v>72</v>
      </c>
      <c r="G185" s="18"/>
      <c r="H185" s="18">
        <v>1964</v>
      </c>
      <c r="I185" s="20">
        <v>242.9</v>
      </c>
      <c r="J185" s="18">
        <v>1964</v>
      </c>
      <c r="K185" s="20">
        <v>242.9</v>
      </c>
      <c r="L185" s="18"/>
    </row>
    <row r="186" spans="6:12" ht="24" customHeight="1">
      <c r="F186" s="18"/>
      <c r="G186" s="18"/>
      <c r="H186" s="18"/>
      <c r="I186" s="20"/>
      <c r="J186" s="18"/>
      <c r="K186" s="20"/>
      <c r="L186" s="18"/>
    </row>
    <row r="187" spans="6:12" ht="57.75" customHeight="1">
      <c r="F187" s="19" t="s">
        <v>58</v>
      </c>
      <c r="G187" s="18">
        <v>32</v>
      </c>
      <c r="H187" s="18">
        <v>1125</v>
      </c>
      <c r="I187" s="20">
        <f>I188+I189+I192</f>
        <v>601.4</v>
      </c>
      <c r="J187" s="18">
        <v>1125</v>
      </c>
      <c r="K187" s="20">
        <f>K188+K189+K192</f>
        <v>601.4</v>
      </c>
      <c r="L187" s="18"/>
    </row>
    <row r="188" spans="6:12" ht="19.5" customHeight="1">
      <c r="F188" s="9" t="s">
        <v>70</v>
      </c>
      <c r="G188" s="18">
        <v>32</v>
      </c>
      <c r="H188" s="18">
        <v>1125</v>
      </c>
      <c r="I188" s="20">
        <f>G188*H188*12/1000</f>
        <v>432</v>
      </c>
      <c r="J188" s="18">
        <v>1125</v>
      </c>
      <c r="K188" s="20">
        <f>J188*G188*12/1000</f>
        <v>432</v>
      </c>
      <c r="L188" s="18"/>
    </row>
    <row r="189" spans="6:12" ht="28.5">
      <c r="F189" s="9" t="s">
        <v>46</v>
      </c>
      <c r="G189" s="18"/>
      <c r="H189" s="18"/>
      <c r="I189" s="20">
        <f>I190+I191</f>
        <v>133.6</v>
      </c>
      <c r="J189" s="18"/>
      <c r="K189" s="20">
        <f>K190+K191</f>
        <v>133.6</v>
      </c>
      <c r="L189" s="18"/>
    </row>
    <row r="190" spans="6:12" ht="14.25">
      <c r="F190" s="18" t="s">
        <v>47</v>
      </c>
      <c r="G190" s="18"/>
      <c r="H190" s="21">
        <v>0.226</v>
      </c>
      <c r="I190" s="20">
        <v>97.6</v>
      </c>
      <c r="J190" s="21">
        <v>0.226</v>
      </c>
      <c r="K190" s="20">
        <v>97.6</v>
      </c>
      <c r="L190" s="18"/>
    </row>
    <row r="191" spans="6:12" ht="14.25">
      <c r="F191" s="18" t="s">
        <v>48</v>
      </c>
      <c r="G191" s="18"/>
      <c r="H191" s="18">
        <v>1125</v>
      </c>
      <c r="I191" s="20">
        <v>36</v>
      </c>
      <c r="J191" s="18">
        <v>1125</v>
      </c>
      <c r="K191" s="20">
        <v>36</v>
      </c>
      <c r="L191" s="18"/>
    </row>
    <row r="192" spans="6:12" ht="14.25">
      <c r="F192" s="18" t="s">
        <v>72</v>
      </c>
      <c r="G192" s="18"/>
      <c r="H192" s="18"/>
      <c r="I192" s="20">
        <v>35.8</v>
      </c>
      <c r="J192" s="18"/>
      <c r="K192" s="20">
        <v>35.8</v>
      </c>
      <c r="L192" s="18"/>
    </row>
    <row r="193" spans="6:12" ht="15">
      <c r="F193" s="17" t="s">
        <v>59</v>
      </c>
      <c r="G193" s="18">
        <v>184</v>
      </c>
      <c r="H193" s="18">
        <v>884</v>
      </c>
      <c r="I193" s="20">
        <f>I194+I195+I198</f>
        <v>2118.372</v>
      </c>
      <c r="J193" s="18">
        <v>884</v>
      </c>
      <c r="K193" s="20">
        <f>K194+K195+K198</f>
        <v>2118.372</v>
      </c>
      <c r="L193" s="18"/>
    </row>
    <row r="194" spans="6:12" ht="14.25">
      <c r="F194" s="9" t="s">
        <v>70</v>
      </c>
      <c r="G194" s="18">
        <v>184</v>
      </c>
      <c r="H194" s="18">
        <v>884</v>
      </c>
      <c r="I194" s="20">
        <f>G194*H194*12/1000</f>
        <v>1951.872</v>
      </c>
      <c r="J194" s="18">
        <v>884</v>
      </c>
      <c r="K194" s="20">
        <f>J194*G194*12/1000</f>
        <v>1951.872</v>
      </c>
      <c r="L194" s="18"/>
    </row>
    <row r="195" spans="6:12" ht="28.5">
      <c r="F195" s="9" t="s">
        <v>46</v>
      </c>
      <c r="G195" s="18"/>
      <c r="H195" s="18"/>
      <c r="I195" s="20">
        <f>I196+I197</f>
        <v>20.8</v>
      </c>
      <c r="J195" s="18"/>
      <c r="K195" s="20">
        <f>K196+K197</f>
        <v>20.8</v>
      </c>
      <c r="L195" s="18"/>
    </row>
    <row r="196" spans="6:12" ht="14.25">
      <c r="F196" s="18" t="s">
        <v>47</v>
      </c>
      <c r="G196" s="18"/>
      <c r="H196" s="21">
        <v>0.182</v>
      </c>
      <c r="I196" s="20">
        <v>2.7</v>
      </c>
      <c r="J196" s="21">
        <v>0.182</v>
      </c>
      <c r="K196" s="20">
        <v>2.7</v>
      </c>
      <c r="L196" s="18"/>
    </row>
    <row r="197" spans="6:12" ht="14.25">
      <c r="F197" s="18" t="s">
        <v>48</v>
      </c>
      <c r="G197" s="18"/>
      <c r="H197" s="18">
        <v>948</v>
      </c>
      <c r="I197" s="20">
        <v>18.1</v>
      </c>
      <c r="J197" s="18">
        <v>948</v>
      </c>
      <c r="K197" s="20">
        <v>18.1</v>
      </c>
      <c r="L197" s="18"/>
    </row>
    <row r="198" spans="6:12" ht="14.25">
      <c r="F198" s="18" t="s">
        <v>72</v>
      </c>
      <c r="G198" s="18"/>
      <c r="H198" s="18">
        <v>882</v>
      </c>
      <c r="I198" s="20">
        <v>145.7</v>
      </c>
      <c r="J198" s="18">
        <v>882</v>
      </c>
      <c r="K198" s="20">
        <v>145.7</v>
      </c>
      <c r="L198" s="18"/>
    </row>
    <row r="199" spans="6:12" ht="15">
      <c r="F199" s="17" t="s">
        <v>60</v>
      </c>
      <c r="G199" s="18">
        <v>141</v>
      </c>
      <c r="H199" s="18">
        <v>621</v>
      </c>
      <c r="I199" s="20">
        <f>I200+I201</f>
        <v>1051.532</v>
      </c>
      <c r="J199" s="18">
        <v>621</v>
      </c>
      <c r="K199" s="20">
        <f>K200+K201</f>
        <v>1051.532</v>
      </c>
      <c r="L199" s="18"/>
    </row>
    <row r="200" spans="6:12" ht="14.25">
      <c r="F200" s="9" t="s">
        <v>70</v>
      </c>
      <c r="G200" s="18">
        <v>141</v>
      </c>
      <c r="H200" s="18">
        <v>621</v>
      </c>
      <c r="I200" s="20">
        <f>G200*H200*12/1000</f>
        <v>1050.732</v>
      </c>
      <c r="J200" s="18">
        <v>621</v>
      </c>
      <c r="K200" s="20">
        <f>G200*J200*12/1000</f>
        <v>1050.732</v>
      </c>
      <c r="L200" s="18"/>
    </row>
    <row r="201" spans="6:12" ht="28.5">
      <c r="F201" s="9" t="s">
        <v>46</v>
      </c>
      <c r="G201" s="18"/>
      <c r="H201" s="18"/>
      <c r="I201" s="20">
        <f>I202</f>
        <v>0.8</v>
      </c>
      <c r="J201" s="18"/>
      <c r="K201" s="20">
        <f>K202</f>
        <v>0.8</v>
      </c>
      <c r="L201" s="18"/>
    </row>
    <row r="202" spans="6:12" ht="14.25">
      <c r="F202" s="18" t="s">
        <v>61</v>
      </c>
      <c r="G202" s="18"/>
      <c r="H202" s="18">
        <v>605</v>
      </c>
      <c r="I202" s="20">
        <v>0.8</v>
      </c>
      <c r="J202" s="18">
        <v>605</v>
      </c>
      <c r="K202" s="20">
        <v>0.8</v>
      </c>
      <c r="L202" s="18"/>
    </row>
    <row r="203" spans="6:12" ht="14.25">
      <c r="F203" s="18" t="s">
        <v>73</v>
      </c>
      <c r="G203" s="18">
        <v>649</v>
      </c>
      <c r="H203" s="18"/>
      <c r="I203" s="20">
        <v>236</v>
      </c>
      <c r="J203" s="18"/>
      <c r="K203" s="20">
        <v>236</v>
      </c>
      <c r="L203" s="18"/>
    </row>
    <row r="204" spans="6:12" ht="14.25">
      <c r="F204" s="11"/>
      <c r="G204" s="11"/>
      <c r="H204" s="11"/>
      <c r="I204" s="11"/>
      <c r="J204" s="11"/>
      <c r="K204" s="11"/>
      <c r="L204" s="11"/>
    </row>
    <row r="205" spans="6:12" ht="14.25">
      <c r="F205" s="11"/>
      <c r="G205" s="11"/>
      <c r="H205" s="11"/>
      <c r="I205" s="11"/>
      <c r="J205" s="11"/>
      <c r="K205" s="11"/>
      <c r="L205" s="11"/>
    </row>
    <row r="206" spans="6:12" ht="14.25">
      <c r="F206" s="11"/>
      <c r="G206" s="11"/>
      <c r="H206" s="11"/>
      <c r="I206" s="11"/>
      <c r="J206" s="11"/>
      <c r="K206" s="11"/>
      <c r="L206" s="11"/>
    </row>
    <row r="207" spans="6:12" ht="14.25">
      <c r="F207" s="11"/>
      <c r="G207" s="11"/>
      <c r="H207" s="11"/>
      <c r="I207" s="11"/>
      <c r="J207" s="11"/>
      <c r="K207" s="11"/>
      <c r="L207" s="11"/>
    </row>
    <row r="208" spans="6:12" ht="14.25">
      <c r="F208" s="11" t="s">
        <v>62</v>
      </c>
      <c r="G208" s="11"/>
      <c r="H208" s="11"/>
      <c r="I208" s="11"/>
      <c r="J208" s="11" t="s">
        <v>63</v>
      </c>
      <c r="K208" s="11"/>
      <c r="L208" s="11"/>
    </row>
    <row r="209" spans="6:12" ht="14.25">
      <c r="F209" s="11"/>
      <c r="G209" s="11"/>
      <c r="H209" s="11"/>
      <c r="I209" s="11"/>
      <c r="J209" s="11"/>
      <c r="K209" s="11"/>
      <c r="L209" s="11"/>
    </row>
    <row r="210" spans="6:12" ht="14.25">
      <c r="F210" s="11" t="s">
        <v>64</v>
      </c>
      <c r="G210" s="11"/>
      <c r="H210" s="11"/>
      <c r="I210" s="11"/>
      <c r="J210" s="11" t="s">
        <v>36</v>
      </c>
      <c r="K210" s="11"/>
      <c r="L210" s="11"/>
    </row>
    <row r="217" spans="6:12" ht="15">
      <c r="F217" s="27" t="s">
        <v>74</v>
      </c>
      <c r="G217" s="27"/>
      <c r="H217" s="27"/>
      <c r="I217" s="27"/>
      <c r="J217" s="27"/>
      <c r="K217" s="27"/>
      <c r="L217" s="28"/>
    </row>
    <row r="218" spans="6:12" ht="15">
      <c r="F218" s="11"/>
      <c r="G218" s="10" t="s">
        <v>66</v>
      </c>
      <c r="H218" s="10"/>
      <c r="I218" s="10"/>
      <c r="J218" s="11"/>
      <c r="K218" s="11"/>
      <c r="L218" s="11"/>
    </row>
    <row r="219" spans="6:12" ht="14.25">
      <c r="F219" s="11"/>
      <c r="G219" s="11"/>
      <c r="H219" s="11"/>
      <c r="I219" s="11"/>
      <c r="J219" s="11"/>
      <c r="K219" s="11"/>
      <c r="L219" s="11"/>
    </row>
    <row r="220" spans="6:12" ht="15">
      <c r="F220" s="10" t="s">
        <v>67</v>
      </c>
      <c r="G220" s="10"/>
      <c r="H220" s="10"/>
      <c r="I220" s="10"/>
      <c r="J220" s="10"/>
      <c r="K220" s="10"/>
      <c r="L220" s="11"/>
    </row>
    <row r="221" spans="6:12" ht="14.25">
      <c r="F221" s="11"/>
      <c r="G221" s="11"/>
      <c r="H221" s="11"/>
      <c r="I221" s="11"/>
      <c r="J221" s="11"/>
      <c r="K221" s="11"/>
      <c r="L221" s="11"/>
    </row>
    <row r="222" spans="6:12" ht="13.5" customHeight="1">
      <c r="F222" s="84"/>
      <c r="G222" s="86" t="s">
        <v>37</v>
      </c>
      <c r="H222" s="88" t="s">
        <v>38</v>
      </c>
      <c r="I222" s="89"/>
      <c r="J222" s="90" t="s">
        <v>39</v>
      </c>
      <c r="K222" s="91"/>
      <c r="L222" s="86" t="s">
        <v>40</v>
      </c>
    </row>
    <row r="223" spans="6:12" ht="42.75">
      <c r="F223" s="85"/>
      <c r="G223" s="87"/>
      <c r="H223" s="13"/>
      <c r="I223" s="14" t="s">
        <v>42</v>
      </c>
      <c r="J223" s="15"/>
      <c r="K223" s="14" t="s">
        <v>42</v>
      </c>
      <c r="L223" s="87"/>
    </row>
    <row r="224" spans="6:12" ht="14.25">
      <c r="F224" s="16">
        <v>1</v>
      </c>
      <c r="G224" s="12">
        <v>2</v>
      </c>
      <c r="H224" s="16">
        <v>3</v>
      </c>
      <c r="I224" s="16">
        <v>4</v>
      </c>
      <c r="J224" s="16">
        <v>5</v>
      </c>
      <c r="K224" s="16">
        <v>6</v>
      </c>
      <c r="L224" s="16">
        <v>7</v>
      </c>
    </row>
    <row r="225" spans="6:12" ht="15">
      <c r="F225" s="17" t="s">
        <v>44</v>
      </c>
      <c r="G225" s="18">
        <v>649</v>
      </c>
      <c r="H225" s="18"/>
      <c r="I225" s="20"/>
      <c r="J225" s="18"/>
      <c r="K225" s="20"/>
      <c r="L225" s="18"/>
    </row>
    <row r="226" spans="6:12" ht="14.25">
      <c r="F226" s="9" t="s">
        <v>70</v>
      </c>
      <c r="G226" s="18"/>
      <c r="H226" s="18"/>
      <c r="I226" s="20"/>
      <c r="J226" s="18"/>
      <c r="K226" s="20"/>
      <c r="L226" s="18"/>
    </row>
    <row r="227" spans="6:12" ht="29.25">
      <c r="F227" s="9" t="s">
        <v>46</v>
      </c>
      <c r="G227" s="17"/>
      <c r="H227" s="18"/>
      <c r="I227" s="20"/>
      <c r="J227" s="18"/>
      <c r="K227" s="20"/>
      <c r="L227" s="18"/>
    </row>
    <row r="228" spans="6:12" ht="14.25">
      <c r="F228" s="18" t="s">
        <v>75</v>
      </c>
      <c r="G228" s="21"/>
      <c r="H228" s="21"/>
      <c r="I228" s="20"/>
      <c r="J228" s="21"/>
      <c r="K228" s="20"/>
      <c r="L228" s="18"/>
    </row>
    <row r="229" spans="6:12" ht="14.25">
      <c r="F229" s="18" t="s">
        <v>48</v>
      </c>
      <c r="G229" s="18"/>
      <c r="H229" s="18"/>
      <c r="I229" s="20"/>
      <c r="J229" s="18"/>
      <c r="K229" s="20"/>
      <c r="L229" s="18"/>
    </row>
    <row r="230" spans="6:12" ht="14.25">
      <c r="F230" s="18" t="s">
        <v>76</v>
      </c>
      <c r="G230" s="21"/>
      <c r="H230" s="22"/>
      <c r="I230" s="20"/>
      <c r="J230" s="22"/>
      <c r="K230" s="20"/>
      <c r="L230" s="18"/>
    </row>
    <row r="231" spans="6:12" ht="14.25">
      <c r="F231" s="18" t="s">
        <v>53</v>
      </c>
      <c r="G231" s="18"/>
      <c r="H231" s="23"/>
      <c r="I231" s="20"/>
      <c r="J231" s="23"/>
      <c r="K231" s="20"/>
      <c r="L231" s="18"/>
    </row>
    <row r="232" spans="6:12" ht="19.5" customHeight="1">
      <c r="F232" s="9" t="s">
        <v>77</v>
      </c>
      <c r="G232" s="18"/>
      <c r="H232" s="18"/>
      <c r="I232" s="20"/>
      <c r="J232" s="18"/>
      <c r="K232" s="20"/>
      <c r="L232" s="18"/>
    </row>
    <row r="233" spans="6:12" ht="14.25">
      <c r="F233" s="18" t="s">
        <v>78</v>
      </c>
      <c r="G233" s="18"/>
      <c r="H233" s="18"/>
      <c r="I233" s="20"/>
      <c r="J233" s="18"/>
      <c r="K233" s="20"/>
      <c r="L233" s="18"/>
    </row>
    <row r="234" spans="6:12" ht="14.25">
      <c r="F234" s="9"/>
      <c r="G234" s="18"/>
      <c r="H234" s="18"/>
      <c r="I234" s="20"/>
      <c r="J234" s="18"/>
      <c r="K234" s="20"/>
      <c r="L234" s="18"/>
    </row>
    <row r="235" spans="6:12" ht="14.25">
      <c r="F235" s="18"/>
      <c r="G235" s="18"/>
      <c r="H235" s="21"/>
      <c r="I235" s="20"/>
      <c r="J235" s="21"/>
      <c r="K235" s="20"/>
      <c r="L235" s="18"/>
    </row>
    <row r="236" spans="6:12" ht="14.25">
      <c r="F236" s="18"/>
      <c r="G236" s="18"/>
      <c r="H236" s="18"/>
      <c r="I236" s="20"/>
      <c r="J236" s="18"/>
      <c r="K236" s="20"/>
      <c r="L236" s="18"/>
    </row>
    <row r="237" spans="6:12" ht="14.25">
      <c r="F237" s="16"/>
      <c r="G237" s="18"/>
      <c r="H237" s="18"/>
      <c r="I237" s="20"/>
      <c r="J237" s="18"/>
      <c r="K237" s="20"/>
      <c r="L237" s="18"/>
    </row>
    <row r="238" spans="6:18" ht="15">
      <c r="F238" s="18"/>
      <c r="G238" s="18"/>
      <c r="H238" s="18"/>
      <c r="I238" s="20"/>
      <c r="J238" s="18"/>
      <c r="K238" s="20"/>
      <c r="L238" s="18"/>
      <c r="N238" s="27" t="s">
        <v>82</v>
      </c>
      <c r="O238" s="27"/>
      <c r="P238" s="27"/>
      <c r="Q238" s="27"/>
      <c r="R238" s="28"/>
    </row>
    <row r="239" spans="6:18" ht="15">
      <c r="F239" s="18"/>
      <c r="G239" s="21"/>
      <c r="H239" s="18"/>
      <c r="I239" s="20"/>
      <c r="J239" s="18"/>
      <c r="K239" s="20"/>
      <c r="L239" s="18"/>
      <c r="N239" s="11"/>
      <c r="O239" s="10" t="s">
        <v>66</v>
      </c>
      <c r="P239" s="10"/>
      <c r="Q239" s="11"/>
      <c r="R239" s="11"/>
    </row>
    <row r="240" spans="6:18" ht="15">
      <c r="F240" s="18"/>
      <c r="G240" s="21"/>
      <c r="H240" s="18"/>
      <c r="I240" s="20"/>
      <c r="J240" s="18"/>
      <c r="K240" s="20"/>
      <c r="L240" s="18"/>
      <c r="N240" s="11"/>
      <c r="O240" s="10"/>
      <c r="P240" s="10"/>
      <c r="Q240" s="11"/>
      <c r="R240" s="11"/>
    </row>
    <row r="241" spans="6:18" ht="14.25">
      <c r="F241" s="18"/>
      <c r="G241" s="21"/>
      <c r="H241" s="18"/>
      <c r="I241" s="20"/>
      <c r="J241" s="18"/>
      <c r="K241" s="20"/>
      <c r="L241" s="18"/>
      <c r="N241" s="11"/>
      <c r="O241" s="11"/>
      <c r="P241" s="11"/>
      <c r="Q241" s="11"/>
      <c r="R241" s="11"/>
    </row>
    <row r="242" spans="6:18" ht="15">
      <c r="F242" s="18"/>
      <c r="G242" s="18"/>
      <c r="H242" s="18"/>
      <c r="I242" s="20"/>
      <c r="J242" s="18"/>
      <c r="K242" s="20"/>
      <c r="L242" s="18"/>
      <c r="N242" s="10" t="s">
        <v>67</v>
      </c>
      <c r="O242" s="10"/>
      <c r="P242" s="10"/>
      <c r="Q242" s="10"/>
      <c r="R242" s="11"/>
    </row>
    <row r="243" spans="6:18" ht="15">
      <c r="F243" s="18"/>
      <c r="G243" s="18"/>
      <c r="H243" s="18"/>
      <c r="I243" s="20"/>
      <c r="J243" s="18"/>
      <c r="K243" s="20"/>
      <c r="L243" s="18"/>
      <c r="N243" s="10"/>
      <c r="O243" s="10"/>
      <c r="P243" s="10"/>
      <c r="Q243" s="10"/>
      <c r="R243" s="11"/>
    </row>
    <row r="244" spans="6:18" ht="15" customHeight="1">
      <c r="F244" s="18"/>
      <c r="G244" s="18"/>
      <c r="H244" s="18"/>
      <c r="I244" s="20"/>
      <c r="J244" s="18"/>
      <c r="K244" s="20"/>
      <c r="L244" s="18"/>
      <c r="N244" s="10"/>
      <c r="O244" s="10"/>
      <c r="P244" s="10"/>
      <c r="Q244" s="10"/>
      <c r="R244" s="11"/>
    </row>
    <row r="245" spans="6:18" ht="15">
      <c r="F245" s="18"/>
      <c r="G245" s="18"/>
      <c r="H245" s="18"/>
      <c r="I245" s="20"/>
      <c r="J245" s="18"/>
      <c r="K245" s="20"/>
      <c r="L245" s="18"/>
      <c r="N245" s="29"/>
      <c r="O245" s="86" t="s">
        <v>37</v>
      </c>
      <c r="P245" s="92" t="s">
        <v>79</v>
      </c>
      <c r="Q245" s="94" t="s">
        <v>80</v>
      </c>
      <c r="R245" s="92" t="s">
        <v>81</v>
      </c>
    </row>
    <row r="246" spans="6:18" ht="45.75" customHeight="1">
      <c r="F246" s="18"/>
      <c r="G246" s="18"/>
      <c r="H246" s="18"/>
      <c r="I246" s="20"/>
      <c r="J246" s="18"/>
      <c r="K246" s="20"/>
      <c r="L246" s="18"/>
      <c r="N246" s="30"/>
      <c r="O246" s="87"/>
      <c r="P246" s="96"/>
      <c r="Q246" s="95"/>
      <c r="R246" s="93"/>
    </row>
    <row r="247" spans="6:18" ht="14.25">
      <c r="F247" s="18"/>
      <c r="G247" s="18"/>
      <c r="H247" s="18"/>
      <c r="I247" s="20"/>
      <c r="J247" s="18"/>
      <c r="K247" s="20"/>
      <c r="L247" s="18"/>
      <c r="N247" s="12">
        <v>1</v>
      </c>
      <c r="O247" s="12">
        <v>2</v>
      </c>
      <c r="P247" s="12">
        <v>3</v>
      </c>
      <c r="Q247" s="12">
        <v>4</v>
      </c>
      <c r="R247" s="12">
        <v>5</v>
      </c>
    </row>
    <row r="248" spans="6:20" ht="18" customHeight="1">
      <c r="F248" s="18"/>
      <c r="G248" s="18"/>
      <c r="H248" s="18"/>
      <c r="I248" s="20"/>
      <c r="J248" s="18"/>
      <c r="K248" s="20"/>
      <c r="L248" s="18"/>
      <c r="N248" s="17" t="s">
        <v>44</v>
      </c>
      <c r="O248" s="18">
        <v>649</v>
      </c>
      <c r="P248" s="20">
        <v>15636.6</v>
      </c>
      <c r="Q248" s="20">
        <v>14899.2</v>
      </c>
      <c r="R248" s="31">
        <f>R249+R250+R255+R256</f>
        <v>737.4000000000001</v>
      </c>
      <c r="T248" s="24">
        <f>P248-Q248</f>
        <v>737.3999999999996</v>
      </c>
    </row>
    <row r="249" spans="6:18" ht="22.5" customHeight="1">
      <c r="F249" s="18"/>
      <c r="G249" s="18"/>
      <c r="H249" s="18"/>
      <c r="I249" s="20"/>
      <c r="J249" s="18"/>
      <c r="K249" s="20"/>
      <c r="L249" s="18"/>
      <c r="N249" s="9" t="s">
        <v>70</v>
      </c>
      <c r="O249" s="18"/>
      <c r="P249" s="20"/>
      <c r="Q249" s="20"/>
      <c r="R249" s="18">
        <v>116.7</v>
      </c>
    </row>
    <row r="250" spans="6:18" ht="45">
      <c r="F250" s="19" t="s">
        <v>58</v>
      </c>
      <c r="G250" s="18"/>
      <c r="H250" s="18"/>
      <c r="I250" s="20"/>
      <c r="J250" s="18"/>
      <c r="K250" s="20"/>
      <c r="L250" s="18"/>
      <c r="N250" s="9" t="s">
        <v>46</v>
      </c>
      <c r="O250" s="17"/>
      <c r="P250" s="20"/>
      <c r="Q250" s="20"/>
      <c r="R250" s="18">
        <f>R251+R252+R253+R254</f>
        <v>306.49</v>
      </c>
    </row>
    <row r="251" spans="6:18" ht="20.25" customHeight="1">
      <c r="F251" s="9" t="s">
        <v>70</v>
      </c>
      <c r="G251" s="18"/>
      <c r="H251" s="18"/>
      <c r="I251" s="20"/>
      <c r="J251" s="18"/>
      <c r="K251" s="20"/>
      <c r="L251" s="18"/>
      <c r="N251" s="18" t="s">
        <v>75</v>
      </c>
      <c r="O251" s="21"/>
      <c r="P251" s="20"/>
      <c r="Q251" s="20"/>
      <c r="R251" s="18">
        <v>29.8</v>
      </c>
    </row>
    <row r="252" spans="6:18" ht="28.5">
      <c r="F252" s="9" t="s">
        <v>46</v>
      </c>
      <c r="G252" s="18"/>
      <c r="H252" s="18"/>
      <c r="I252" s="20"/>
      <c r="J252" s="18"/>
      <c r="K252" s="20"/>
      <c r="L252" s="18"/>
      <c r="N252" s="18" t="s">
        <v>48</v>
      </c>
      <c r="O252" s="18"/>
      <c r="P252" s="20"/>
      <c r="Q252" s="20"/>
      <c r="R252" s="18">
        <v>88.43</v>
      </c>
    </row>
    <row r="253" spans="6:18" ht="18" customHeight="1">
      <c r="F253" s="18" t="s">
        <v>47</v>
      </c>
      <c r="G253" s="18"/>
      <c r="H253" s="21"/>
      <c r="I253" s="20"/>
      <c r="J253" s="21"/>
      <c r="K253" s="20"/>
      <c r="L253" s="18"/>
      <c r="N253" s="18" t="s">
        <v>76</v>
      </c>
      <c r="O253" s="21"/>
      <c r="P253" s="20"/>
      <c r="Q253" s="20"/>
      <c r="R253" s="18">
        <v>68.1</v>
      </c>
    </row>
    <row r="254" spans="6:18" ht="21.75" customHeight="1">
      <c r="F254" s="18" t="s">
        <v>48</v>
      </c>
      <c r="G254" s="18"/>
      <c r="H254" s="18"/>
      <c r="I254" s="20"/>
      <c r="J254" s="18"/>
      <c r="K254" s="20"/>
      <c r="L254" s="18"/>
      <c r="N254" s="18" t="s">
        <v>53</v>
      </c>
      <c r="O254" s="18"/>
      <c r="P254" s="20"/>
      <c r="Q254" s="20"/>
      <c r="R254" s="18">
        <v>120.16</v>
      </c>
    </row>
    <row r="255" spans="6:18" ht="33" customHeight="1">
      <c r="F255" s="18" t="s">
        <v>72</v>
      </c>
      <c r="G255" s="18"/>
      <c r="H255" s="18"/>
      <c r="I255" s="20"/>
      <c r="J255" s="18"/>
      <c r="K255" s="20"/>
      <c r="L255" s="18"/>
      <c r="N255" s="9" t="s">
        <v>77</v>
      </c>
      <c r="O255" s="18"/>
      <c r="P255" s="20"/>
      <c r="Q255" s="20"/>
      <c r="R255" s="31">
        <v>96</v>
      </c>
    </row>
    <row r="256" spans="6:18" ht="24" customHeight="1">
      <c r="F256" s="17" t="s">
        <v>59</v>
      </c>
      <c r="G256" s="18"/>
      <c r="H256" s="18"/>
      <c r="I256" s="20"/>
      <c r="J256" s="18"/>
      <c r="K256" s="20"/>
      <c r="L256" s="18"/>
      <c r="N256" s="18" t="s">
        <v>78</v>
      </c>
      <c r="O256" s="18"/>
      <c r="P256" s="20"/>
      <c r="Q256" s="20"/>
      <c r="R256" s="18">
        <v>218.21</v>
      </c>
    </row>
    <row r="257" spans="6:18" ht="14.25">
      <c r="F257" s="9" t="s">
        <v>70</v>
      </c>
      <c r="G257" s="18"/>
      <c r="H257" s="18"/>
      <c r="I257" s="20"/>
      <c r="J257" s="18"/>
      <c r="K257" s="20"/>
      <c r="L257" s="18"/>
      <c r="N257" s="9"/>
      <c r="O257" s="18"/>
      <c r="P257" s="20"/>
      <c r="Q257" s="20"/>
      <c r="R257" s="18"/>
    </row>
    <row r="258" spans="6:18" ht="28.5">
      <c r="F258" s="9" t="s">
        <v>46</v>
      </c>
      <c r="G258" s="18"/>
      <c r="H258" s="18"/>
      <c r="I258" s="20"/>
      <c r="J258" s="18"/>
      <c r="K258" s="20"/>
      <c r="L258" s="18"/>
      <c r="N258" s="18"/>
      <c r="O258" s="18"/>
      <c r="P258" s="20"/>
      <c r="Q258" s="20"/>
      <c r="R258" s="18"/>
    </row>
    <row r="259" spans="6:18" ht="14.25">
      <c r="F259" s="18" t="s">
        <v>47</v>
      </c>
      <c r="G259" s="18"/>
      <c r="H259" s="21"/>
      <c r="I259" s="20"/>
      <c r="J259" s="21"/>
      <c r="K259" s="20"/>
      <c r="L259" s="18"/>
      <c r="N259" s="18"/>
      <c r="O259" s="18"/>
      <c r="P259" s="20"/>
      <c r="Q259" s="20"/>
      <c r="R259" s="18"/>
    </row>
    <row r="260" spans="6:18" ht="14.25">
      <c r="F260" s="18" t="s">
        <v>48</v>
      </c>
      <c r="G260" s="18"/>
      <c r="H260" s="18"/>
      <c r="I260" s="20"/>
      <c r="J260" s="18"/>
      <c r="K260" s="20"/>
      <c r="L260" s="18"/>
      <c r="N260" s="16"/>
      <c r="O260" s="18"/>
      <c r="P260" s="20"/>
      <c r="Q260" s="20"/>
      <c r="R260" s="18"/>
    </row>
    <row r="261" spans="6:12" ht="14.25">
      <c r="F261" s="18" t="s">
        <v>72</v>
      </c>
      <c r="G261" s="18"/>
      <c r="H261" s="18"/>
      <c r="I261" s="20"/>
      <c r="J261" s="18"/>
      <c r="K261" s="20"/>
      <c r="L261" s="18"/>
    </row>
    <row r="262" spans="6:12" ht="15">
      <c r="F262" s="17" t="s">
        <v>60</v>
      </c>
      <c r="G262" s="18"/>
      <c r="H262" s="18"/>
      <c r="I262" s="20"/>
      <c r="J262" s="18"/>
      <c r="K262" s="20"/>
      <c r="L262" s="18"/>
    </row>
    <row r="263" spans="6:12" ht="14.25">
      <c r="F263" s="9" t="s">
        <v>70</v>
      </c>
      <c r="G263" s="18"/>
      <c r="H263" s="18"/>
      <c r="I263" s="20"/>
      <c r="J263" s="18"/>
      <c r="K263" s="20"/>
      <c r="L263" s="18"/>
    </row>
    <row r="264" spans="6:12" ht="28.5">
      <c r="F264" s="9" t="s">
        <v>46</v>
      </c>
      <c r="G264" s="18"/>
      <c r="H264" s="18"/>
      <c r="I264" s="20"/>
      <c r="J264" s="18"/>
      <c r="K264" s="20"/>
      <c r="L264" s="18"/>
    </row>
    <row r="265" spans="6:12" ht="14.25">
      <c r="F265" s="18" t="s">
        <v>61</v>
      </c>
      <c r="G265" s="18"/>
      <c r="H265" s="18"/>
      <c r="I265" s="20"/>
      <c r="J265" s="18"/>
      <c r="K265" s="20"/>
      <c r="L265" s="18"/>
    </row>
    <row r="266" spans="6:18" ht="14.25">
      <c r="F266" s="18" t="s">
        <v>73</v>
      </c>
      <c r="G266" s="18"/>
      <c r="H266" s="18"/>
      <c r="I266" s="20"/>
      <c r="J266" s="18"/>
      <c r="K266" s="20"/>
      <c r="L266" s="18"/>
      <c r="N266" s="25" t="s">
        <v>62</v>
      </c>
      <c r="Q266" s="11" t="s">
        <v>63</v>
      </c>
      <c r="R266" s="11"/>
    </row>
    <row r="267" spans="6:18" ht="14.25">
      <c r="F267" s="11"/>
      <c r="G267" s="11"/>
      <c r="H267" s="11"/>
      <c r="I267" s="11"/>
      <c r="J267" s="11"/>
      <c r="K267" s="11"/>
      <c r="L267" s="11"/>
      <c r="N267" s="11"/>
      <c r="Q267" s="11"/>
      <c r="R267" s="11"/>
    </row>
    <row r="268" spans="6:18" ht="14.25">
      <c r="F268" s="11"/>
      <c r="G268" s="11"/>
      <c r="H268" s="11"/>
      <c r="I268" s="11"/>
      <c r="J268" s="11"/>
      <c r="K268" s="11"/>
      <c r="L268" s="11"/>
      <c r="N268" s="26" t="s">
        <v>64</v>
      </c>
      <c r="Q268" s="11" t="s">
        <v>36</v>
      </c>
      <c r="R268" s="11"/>
    </row>
    <row r="269" spans="6:12" ht="14.25">
      <c r="F269" s="11"/>
      <c r="G269" s="11"/>
      <c r="H269" s="11"/>
      <c r="I269" s="11"/>
      <c r="J269" s="11"/>
      <c r="K269" s="11"/>
      <c r="L269" s="11"/>
    </row>
    <row r="270" spans="6:12" ht="14.25">
      <c r="F270" s="11"/>
      <c r="G270" s="11"/>
      <c r="H270" s="11"/>
      <c r="I270" s="11"/>
      <c r="J270" s="11"/>
      <c r="K270" s="11"/>
      <c r="L270" s="11"/>
    </row>
    <row r="271" spans="6:22" ht="15">
      <c r="F271" s="11" t="s">
        <v>62</v>
      </c>
      <c r="G271" s="11"/>
      <c r="H271" s="11"/>
      <c r="I271" s="11"/>
      <c r="J271" s="11" t="s">
        <v>63</v>
      </c>
      <c r="K271" s="11"/>
      <c r="L271" s="11"/>
      <c r="T271" s="27" t="s">
        <v>105</v>
      </c>
      <c r="U271" s="27"/>
      <c r="V271" s="28"/>
    </row>
    <row r="272" spans="6:23" ht="15">
      <c r="F272" s="11"/>
      <c r="G272" s="11"/>
      <c r="H272" s="11"/>
      <c r="I272" s="11"/>
      <c r="J272" s="11"/>
      <c r="K272" s="11"/>
      <c r="L272" s="11"/>
      <c r="T272" s="98" t="s">
        <v>83</v>
      </c>
      <c r="U272" s="98"/>
      <c r="V272" s="98"/>
      <c r="W272" s="98"/>
    </row>
    <row r="273" spans="6:22" ht="14.25">
      <c r="F273" s="11" t="s">
        <v>64</v>
      </c>
      <c r="G273" s="11"/>
      <c r="H273" s="11"/>
      <c r="I273" s="11"/>
      <c r="J273" s="11" t="s">
        <v>36</v>
      </c>
      <c r="K273" s="11"/>
      <c r="L273" s="11"/>
      <c r="T273" s="11"/>
      <c r="U273" s="11"/>
      <c r="V273" s="11"/>
    </row>
    <row r="274" spans="20:22" ht="14.25">
      <c r="T274" s="11"/>
      <c r="U274" s="11"/>
      <c r="V274" s="11"/>
    </row>
    <row r="275" spans="20:22" ht="15">
      <c r="T275" s="27" t="s">
        <v>106</v>
      </c>
      <c r="U275" s="10"/>
      <c r="V275" s="11"/>
    </row>
    <row r="276" spans="20:22" ht="15">
      <c r="T276" s="10"/>
      <c r="U276" s="10"/>
      <c r="V276" s="11"/>
    </row>
    <row r="277" spans="20:22" ht="15">
      <c r="T277" s="10"/>
      <c r="U277" s="10"/>
      <c r="V277" s="11"/>
    </row>
    <row r="278" spans="20:23" ht="15">
      <c r="T278" s="29"/>
      <c r="U278" s="94" t="s">
        <v>97</v>
      </c>
      <c r="V278" s="94" t="s">
        <v>99</v>
      </c>
      <c r="W278" s="99" t="s">
        <v>104</v>
      </c>
    </row>
    <row r="279" spans="20:23" ht="21" customHeight="1">
      <c r="T279" s="30"/>
      <c r="U279" s="95"/>
      <c r="V279" s="101"/>
      <c r="W279" s="100"/>
    </row>
    <row r="280" spans="20:23" ht="14.25">
      <c r="T280" s="12">
        <v>1</v>
      </c>
      <c r="U280" s="12"/>
      <c r="V280" s="12">
        <v>5</v>
      </c>
      <c r="W280" s="6"/>
    </row>
    <row r="281" spans="20:23" ht="15">
      <c r="T281" s="17" t="s">
        <v>84</v>
      </c>
      <c r="U281" s="20" t="s">
        <v>100</v>
      </c>
      <c r="V281" s="40">
        <f>V282+V283+V288+V289</f>
        <v>737.4000000000001</v>
      </c>
      <c r="W281" s="6"/>
    </row>
    <row r="282" spans="20:23" ht="17.25" customHeight="1">
      <c r="T282" s="9" t="s">
        <v>70</v>
      </c>
      <c r="U282" s="20" t="s">
        <v>100</v>
      </c>
      <c r="V282" s="18">
        <v>116.7</v>
      </c>
      <c r="W282" s="6"/>
    </row>
    <row r="283" spans="20:23" ht="30" customHeight="1">
      <c r="T283" s="9" t="s">
        <v>46</v>
      </c>
      <c r="U283" s="20" t="s">
        <v>100</v>
      </c>
      <c r="V283" s="18">
        <f>V284+V285+V286+V287</f>
        <v>306.49</v>
      </c>
      <c r="W283" s="6"/>
    </row>
    <row r="284" spans="20:23" ht="14.25">
      <c r="T284" s="18" t="s">
        <v>75</v>
      </c>
      <c r="U284" s="20" t="s">
        <v>100</v>
      </c>
      <c r="V284" s="18">
        <v>29.8</v>
      </c>
      <c r="W284" s="6"/>
    </row>
    <row r="285" spans="20:23" ht="14.25">
      <c r="T285" s="18" t="s">
        <v>48</v>
      </c>
      <c r="U285" s="20" t="s">
        <v>100</v>
      </c>
      <c r="V285" s="18">
        <v>88.43</v>
      </c>
      <c r="W285" s="6"/>
    </row>
    <row r="286" spans="20:23" ht="14.25">
      <c r="T286" s="18" t="s">
        <v>76</v>
      </c>
      <c r="U286" s="20" t="s">
        <v>100</v>
      </c>
      <c r="V286" s="18">
        <v>68.1</v>
      </c>
      <c r="W286" s="6"/>
    </row>
    <row r="287" spans="20:23" ht="14.25">
      <c r="T287" s="18" t="s">
        <v>53</v>
      </c>
      <c r="U287" s="20" t="s">
        <v>100</v>
      </c>
      <c r="V287" s="18">
        <v>120.16</v>
      </c>
      <c r="W287" s="6"/>
    </row>
    <row r="288" spans="20:23" ht="30.75" customHeight="1">
      <c r="T288" s="9" t="s">
        <v>77</v>
      </c>
      <c r="U288" s="20" t="s">
        <v>100</v>
      </c>
      <c r="V288" s="31">
        <v>96</v>
      </c>
      <c r="W288" s="6"/>
    </row>
    <row r="289" spans="20:23" ht="14.25">
      <c r="T289" s="18" t="s">
        <v>78</v>
      </c>
      <c r="U289" s="20" t="s">
        <v>100</v>
      </c>
      <c r="V289" s="18">
        <v>218.21</v>
      </c>
      <c r="W289" s="6"/>
    </row>
    <row r="290" spans="20:23" ht="30">
      <c r="T290" s="19" t="s">
        <v>85</v>
      </c>
      <c r="U290" s="20" t="s">
        <v>100</v>
      </c>
      <c r="V290" s="17">
        <v>272.84</v>
      </c>
      <c r="W290" s="6"/>
    </row>
    <row r="291" spans="20:23" ht="15">
      <c r="T291" s="35" t="s">
        <v>86</v>
      </c>
      <c r="U291" s="20"/>
      <c r="V291" s="18"/>
      <c r="W291" s="6"/>
    </row>
    <row r="292" spans="20:23" ht="14.25">
      <c r="T292" s="36" t="s">
        <v>90</v>
      </c>
      <c r="U292" s="20" t="s">
        <v>92</v>
      </c>
      <c r="V292" s="18">
        <v>0.258</v>
      </c>
      <c r="W292" s="6"/>
    </row>
    <row r="293" spans="20:23" ht="15">
      <c r="T293" s="36" t="s">
        <v>91</v>
      </c>
      <c r="U293" s="20" t="s">
        <v>93</v>
      </c>
      <c r="V293" s="40">
        <v>150</v>
      </c>
      <c r="W293" s="6"/>
    </row>
    <row r="294" spans="20:23" ht="30">
      <c r="T294" s="19" t="s">
        <v>87</v>
      </c>
      <c r="U294" s="20"/>
      <c r="V294" s="18"/>
      <c r="W294" s="6"/>
    </row>
    <row r="295" spans="20:23" ht="14.25">
      <c r="T295" s="36" t="s">
        <v>90</v>
      </c>
      <c r="U295" s="20" t="s">
        <v>94</v>
      </c>
      <c r="V295" s="18">
        <v>25.4</v>
      </c>
      <c r="W295" s="32"/>
    </row>
    <row r="296" spans="20:23" ht="15">
      <c r="T296" s="36" t="s">
        <v>91</v>
      </c>
      <c r="U296" s="20" t="s">
        <v>93</v>
      </c>
      <c r="V296" s="40">
        <v>150</v>
      </c>
      <c r="W296" s="32"/>
    </row>
    <row r="297" spans="20:23" ht="15">
      <c r="T297" s="19" t="s">
        <v>88</v>
      </c>
      <c r="U297" s="20"/>
      <c r="V297" s="18"/>
      <c r="W297" s="32"/>
    </row>
    <row r="298" spans="20:23" ht="14.25">
      <c r="T298" s="36" t="s">
        <v>90</v>
      </c>
      <c r="U298" s="20" t="s">
        <v>95</v>
      </c>
      <c r="V298" s="20">
        <v>625</v>
      </c>
      <c r="W298" s="32"/>
    </row>
    <row r="299" spans="20:23" ht="15">
      <c r="T299" s="36" t="s">
        <v>91</v>
      </c>
      <c r="U299" s="20" t="s">
        <v>93</v>
      </c>
      <c r="V299" s="40">
        <v>350</v>
      </c>
      <c r="W299" s="32"/>
    </row>
    <row r="300" spans="20:23" ht="21.75" customHeight="1">
      <c r="T300" s="19" t="s">
        <v>89</v>
      </c>
      <c r="U300" s="6"/>
      <c r="V300" s="6"/>
      <c r="W300" s="6"/>
    </row>
    <row r="301" spans="20:23" ht="17.25" customHeight="1">
      <c r="T301" s="36" t="s">
        <v>90</v>
      </c>
      <c r="U301" s="18" t="s">
        <v>96</v>
      </c>
      <c r="V301" s="20">
        <v>210</v>
      </c>
      <c r="W301" s="6"/>
    </row>
    <row r="302" spans="20:23" ht="17.25" customHeight="1">
      <c r="T302" s="36" t="s">
        <v>91</v>
      </c>
      <c r="U302" s="20" t="s">
        <v>93</v>
      </c>
      <c r="V302" s="41">
        <v>550</v>
      </c>
      <c r="W302" s="6"/>
    </row>
    <row r="303" spans="20:23" ht="15">
      <c r="T303" s="19"/>
      <c r="U303" s="6"/>
      <c r="V303" s="6"/>
      <c r="W303" s="6"/>
    </row>
    <row r="304" spans="20:23" ht="15">
      <c r="T304" s="19" t="s">
        <v>98</v>
      </c>
      <c r="U304" s="20" t="s">
        <v>93</v>
      </c>
      <c r="V304" s="41">
        <v>78</v>
      </c>
      <c r="W304" s="6"/>
    </row>
    <row r="305" spans="20:23" ht="15">
      <c r="T305" s="19" t="s">
        <v>101</v>
      </c>
      <c r="U305" s="20" t="s">
        <v>93</v>
      </c>
      <c r="V305" s="41">
        <v>676</v>
      </c>
      <c r="W305" s="6"/>
    </row>
    <row r="306" spans="20:23" ht="15">
      <c r="T306" s="19" t="s">
        <v>102</v>
      </c>
      <c r="U306" s="20" t="s">
        <v>93</v>
      </c>
      <c r="V306" s="41">
        <v>180</v>
      </c>
      <c r="W306" s="6"/>
    </row>
    <row r="307" spans="20:23" ht="15">
      <c r="T307" s="37"/>
      <c r="U307" s="38"/>
      <c r="V307" s="39"/>
      <c r="W307" s="34"/>
    </row>
    <row r="308" spans="20:23" ht="15">
      <c r="T308" s="30" t="s">
        <v>103</v>
      </c>
      <c r="U308" s="20" t="s">
        <v>93</v>
      </c>
      <c r="V308" s="42">
        <f>V281+V290+V293+V296+V299+V302+V304+V305+V306</f>
        <v>3144.24</v>
      </c>
      <c r="W308" s="34"/>
    </row>
    <row r="309" spans="20:23" ht="15">
      <c r="T309" s="43"/>
      <c r="U309" s="44"/>
      <c r="V309" s="45"/>
      <c r="W309" s="33"/>
    </row>
    <row r="310" spans="20:23" ht="15">
      <c r="T310" s="43"/>
      <c r="U310" s="44"/>
      <c r="V310" s="45"/>
      <c r="W310" s="33"/>
    </row>
    <row r="311" spans="20:23" ht="15">
      <c r="T311" s="43"/>
      <c r="U311" s="44"/>
      <c r="V311" s="45"/>
      <c r="W311" s="33"/>
    </row>
    <row r="313" spans="20:24" ht="14.25">
      <c r="T313" s="28" t="s">
        <v>107</v>
      </c>
      <c r="U313" s="11"/>
      <c r="V313" s="26" t="s">
        <v>63</v>
      </c>
      <c r="W313" s="11"/>
      <c r="X313" s="11"/>
    </row>
    <row r="314" spans="20:22" ht="14.25">
      <c r="T314" s="11"/>
      <c r="U314" s="11"/>
      <c r="V314" s="11"/>
    </row>
    <row r="315" spans="20:24" ht="14.25">
      <c r="T315" s="25" t="s">
        <v>64</v>
      </c>
      <c r="U315" s="11"/>
      <c r="V315" s="26" t="s">
        <v>36</v>
      </c>
      <c r="W315" s="11"/>
      <c r="X315" s="11"/>
    </row>
    <row r="332" spans="17:22" ht="12.75">
      <c r="Q332" s="97" t="s">
        <v>108</v>
      </c>
      <c r="R332" s="97"/>
      <c r="S332" s="97"/>
      <c r="T332" s="97"/>
      <c r="U332" s="97"/>
      <c r="V332" s="97"/>
    </row>
    <row r="333" spans="17:22" ht="12.75">
      <c r="Q333" s="97" t="s">
        <v>109</v>
      </c>
      <c r="R333" s="97"/>
      <c r="S333" s="97"/>
      <c r="T333" s="97"/>
      <c r="U333" s="97"/>
      <c r="V333" s="97"/>
    </row>
    <row r="334" ht="12.75">
      <c r="Q334" t="s">
        <v>110</v>
      </c>
    </row>
    <row r="336" spans="2:22" ht="18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</row>
    <row r="337" spans="2:22" ht="12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</row>
    <row r="338" spans="2:22" ht="12.7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</row>
    <row r="339" spans="2:22" ht="12.75">
      <c r="B339" s="33"/>
      <c r="C339" s="33"/>
      <c r="D339" s="33"/>
      <c r="E339" s="33"/>
      <c r="F339" s="33"/>
      <c r="G339" s="33"/>
      <c r="H339" s="33"/>
      <c r="I339" s="33"/>
      <c r="J339" s="46"/>
      <c r="K339" s="47"/>
      <c r="L339" s="47"/>
      <c r="M339" s="47"/>
      <c r="N339" s="33"/>
      <c r="O339" s="33"/>
      <c r="P339" s="33"/>
      <c r="Q339" s="33"/>
      <c r="R339" s="33"/>
      <c r="S339" s="33"/>
      <c r="T339" s="33"/>
      <c r="U339" s="33"/>
      <c r="V339" s="33"/>
    </row>
    <row r="340" spans="2:22" ht="12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</row>
    <row r="341" spans="2:22" ht="12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</row>
    <row r="342" spans="2:22" ht="12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</row>
    <row r="343" spans="2:22" ht="12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</row>
    <row r="344" spans="2:22" ht="12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48"/>
    </row>
    <row r="345" spans="2:22" ht="12.75">
      <c r="B345" s="49"/>
      <c r="C345" s="49"/>
      <c r="D345" s="49"/>
      <c r="E345" s="51"/>
      <c r="F345" s="51"/>
      <c r="G345" s="51"/>
      <c r="H345" s="51"/>
      <c r="I345" s="51"/>
      <c r="J345" s="49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49"/>
    </row>
    <row r="346" spans="2:22" ht="12.75">
      <c r="B346" s="49"/>
      <c r="C346" s="49"/>
      <c r="D346" s="49"/>
      <c r="E346" s="52"/>
      <c r="F346" s="52"/>
      <c r="G346" s="52"/>
      <c r="H346" s="49"/>
      <c r="I346" s="49"/>
      <c r="J346" s="49"/>
      <c r="K346" s="49"/>
      <c r="L346" s="49"/>
      <c r="M346" s="51"/>
      <c r="N346" s="51"/>
      <c r="O346" s="51"/>
      <c r="P346" s="49"/>
      <c r="Q346" s="49"/>
      <c r="R346" s="49"/>
      <c r="S346" s="49"/>
      <c r="T346" s="49"/>
      <c r="U346" s="49"/>
      <c r="V346" s="49"/>
    </row>
    <row r="347" spans="2:22" ht="12.75"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53"/>
      <c r="R347" s="53"/>
      <c r="S347" s="53"/>
      <c r="T347" s="53"/>
      <c r="U347" s="49"/>
      <c r="V347" s="49"/>
    </row>
    <row r="348" spans="2:22" ht="12.75"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</row>
    <row r="349" spans="2:22" ht="12.75">
      <c r="B349" s="53"/>
      <c r="C349" s="53"/>
      <c r="D349" s="33"/>
      <c r="E349" s="51"/>
      <c r="F349" s="51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</row>
    <row r="350" spans="2:22" ht="12.75">
      <c r="B350" s="53"/>
      <c r="C350" s="53"/>
      <c r="D350" s="33"/>
      <c r="E350" s="51"/>
      <c r="F350" s="51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</row>
    <row r="351" spans="2:22" ht="12.75">
      <c r="B351" s="53"/>
      <c r="C351" s="53"/>
      <c r="D351" s="33"/>
      <c r="E351" s="51"/>
      <c r="F351" s="51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</row>
    <row r="352" spans="2:22" ht="12.75">
      <c r="B352" s="53"/>
      <c r="C352" s="53"/>
      <c r="D352" s="33"/>
      <c r="E352" s="51"/>
      <c r="F352" s="51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</row>
    <row r="353" spans="2:22" ht="12.75">
      <c r="B353" s="53"/>
      <c r="C353" s="53"/>
      <c r="D353" s="33"/>
      <c r="E353" s="51"/>
      <c r="F353" s="51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</row>
    <row r="354" spans="2:22" ht="12.75">
      <c r="B354" s="53"/>
      <c r="C354" s="53"/>
      <c r="D354" s="33"/>
      <c r="E354" s="51"/>
      <c r="F354" s="51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</row>
    <row r="355" spans="2:22" ht="12.75">
      <c r="B355" s="53"/>
      <c r="C355" s="53"/>
      <c r="D355" s="33"/>
      <c r="E355" s="51"/>
      <c r="F355" s="51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</row>
    <row r="356" spans="2:22" ht="12.75">
      <c r="B356" s="53"/>
      <c r="C356" s="53"/>
      <c r="D356" s="33"/>
      <c r="E356" s="51"/>
      <c r="F356" s="51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</row>
    <row r="357" spans="2:22" ht="12.75">
      <c r="B357" s="53"/>
      <c r="C357" s="53"/>
      <c r="D357" s="33"/>
      <c r="E357" s="51"/>
      <c r="F357" s="51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</row>
    <row r="358" spans="2:22" ht="12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</row>
    <row r="359" spans="2:22" ht="12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</row>
    <row r="360" spans="2:22" ht="12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</row>
  </sheetData>
  <sheetProtection/>
  <mergeCells count="28">
    <mergeCell ref="R245:R246"/>
    <mergeCell ref="Q245:Q246"/>
    <mergeCell ref="P245:P246"/>
    <mergeCell ref="O245:O246"/>
    <mergeCell ref="Q332:V332"/>
    <mergeCell ref="Q333:V333"/>
    <mergeCell ref="T272:W272"/>
    <mergeCell ref="W278:W279"/>
    <mergeCell ref="U278:U279"/>
    <mergeCell ref="V278:V279"/>
    <mergeCell ref="F152:F153"/>
    <mergeCell ref="L152:L153"/>
    <mergeCell ref="H152:I152"/>
    <mergeCell ref="J152:K152"/>
    <mergeCell ref="G152:G153"/>
    <mergeCell ref="L222:L223"/>
    <mergeCell ref="F222:F223"/>
    <mergeCell ref="G222:G223"/>
    <mergeCell ref="H222:I222"/>
    <mergeCell ref="J222:K222"/>
    <mergeCell ref="B4:D4"/>
    <mergeCell ref="B5:D5"/>
    <mergeCell ref="B6:D6"/>
    <mergeCell ref="B78:D78"/>
    <mergeCell ref="B74:D74"/>
    <mergeCell ref="B75:D75"/>
    <mergeCell ref="B76:D76"/>
    <mergeCell ref="B77:D77"/>
  </mergeCells>
  <printOptions/>
  <pageMargins left="0.98" right="0.24" top="1.1" bottom="0.37" header="0.37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776"/>
  <sheetViews>
    <sheetView tabSelected="1" zoomScalePageLayoutView="0" workbookViewId="0" topLeftCell="C109">
      <selection activeCell="D55" sqref="D55:U61"/>
    </sheetView>
  </sheetViews>
  <sheetFormatPr defaultColWidth="9.00390625" defaultRowHeight="12.75"/>
  <cols>
    <col min="1" max="1" width="18.00390625" style="0" customWidth="1"/>
    <col min="2" max="2" width="5.75390625" style="0" customWidth="1"/>
    <col min="3" max="3" width="5.00390625" style="0" customWidth="1"/>
    <col min="4" max="4" width="5.25390625" style="0" customWidth="1"/>
    <col min="5" max="5" width="5.125" style="0" customWidth="1"/>
    <col min="6" max="6" width="3.875" style="0" customWidth="1"/>
    <col min="7" max="7" width="9.00390625" style="0" bestFit="1" customWidth="1"/>
    <col min="8" max="8" width="9.25390625" style="0" customWidth="1"/>
    <col min="9" max="9" width="8.375" style="0" customWidth="1"/>
    <col min="10" max="10" width="7.875" style="0" customWidth="1"/>
    <col min="11" max="12" width="7.00390625" style="0" customWidth="1"/>
    <col min="13" max="13" width="7.75390625" style="0" customWidth="1"/>
    <col min="14" max="15" width="6.75390625" style="0" customWidth="1"/>
    <col min="16" max="16" width="7.875" style="0" customWidth="1"/>
    <col min="17" max="17" width="6.75390625" style="0" customWidth="1"/>
    <col min="18" max="18" width="7.375" style="0" customWidth="1"/>
    <col min="19" max="19" width="7.625" style="0" customWidth="1"/>
    <col min="20" max="20" width="7.75390625" style="0" customWidth="1"/>
  </cols>
  <sheetData>
    <row r="2" spans="14:17" ht="12.75">
      <c r="N2" s="62"/>
      <c r="O2" s="62"/>
      <c r="P2" s="62"/>
      <c r="Q2" s="62"/>
    </row>
    <row r="3" spans="14:17" ht="12.75">
      <c r="N3" s="62"/>
      <c r="O3" s="62"/>
      <c r="P3" s="62"/>
      <c r="Q3" s="62"/>
    </row>
    <row r="4" spans="14:17" ht="12.75">
      <c r="N4" s="62"/>
      <c r="O4" s="62"/>
      <c r="P4" s="62"/>
      <c r="Q4" s="62"/>
    </row>
    <row r="5" spans="6:12" ht="12.75">
      <c r="F5" s="134" t="s">
        <v>138</v>
      </c>
      <c r="G5" s="134"/>
      <c r="H5" s="134"/>
      <c r="I5" s="134"/>
      <c r="J5" s="134"/>
      <c r="K5" s="134"/>
      <c r="L5" s="134"/>
    </row>
    <row r="6" spans="5:13" ht="14.25">
      <c r="E6" s="110" t="s">
        <v>139</v>
      </c>
      <c r="F6" s="110"/>
      <c r="G6" s="110"/>
      <c r="H6" s="110"/>
      <c r="I6" s="110"/>
      <c r="J6" s="110"/>
      <c r="K6" s="110"/>
      <c r="L6" s="110"/>
      <c r="M6" s="110"/>
    </row>
    <row r="7" spans="5:13" ht="12.75">
      <c r="E7" s="123" t="s">
        <v>161</v>
      </c>
      <c r="F7" s="123"/>
      <c r="G7" s="123"/>
      <c r="H7" s="123"/>
      <c r="I7" s="123"/>
      <c r="J7" s="123"/>
      <c r="K7" s="123"/>
      <c r="L7" s="123"/>
      <c r="M7" s="123"/>
    </row>
    <row r="8" ht="13.5" thickBot="1">
      <c r="S8" t="s">
        <v>140</v>
      </c>
    </row>
    <row r="9" spans="1:20" ht="12.75">
      <c r="A9" s="124" t="s">
        <v>111</v>
      </c>
      <c r="B9" s="127" t="s">
        <v>141</v>
      </c>
      <c r="C9" s="130" t="s">
        <v>142</v>
      </c>
      <c r="D9" s="131"/>
      <c r="E9" s="131"/>
      <c r="F9" s="132"/>
      <c r="G9" s="105" t="s">
        <v>144</v>
      </c>
      <c r="H9" s="130" t="s">
        <v>134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3"/>
    </row>
    <row r="10" spans="1:20" ht="12.75">
      <c r="A10" s="125"/>
      <c r="B10" s="128"/>
      <c r="C10" s="103" t="s">
        <v>143</v>
      </c>
      <c r="D10" s="104"/>
      <c r="E10" s="107" t="s">
        <v>132</v>
      </c>
      <c r="F10" s="108"/>
      <c r="G10" s="106"/>
      <c r="H10" s="116" t="s">
        <v>113</v>
      </c>
      <c r="I10" s="116" t="s">
        <v>114</v>
      </c>
      <c r="J10" s="118" t="s">
        <v>115</v>
      </c>
      <c r="K10" s="119"/>
      <c r="L10" s="120"/>
      <c r="M10" s="116" t="s">
        <v>147</v>
      </c>
      <c r="N10" s="118" t="s">
        <v>115</v>
      </c>
      <c r="O10" s="119"/>
      <c r="P10" s="119"/>
      <c r="Q10" s="119"/>
      <c r="R10" s="120"/>
      <c r="S10" s="109" t="s">
        <v>112</v>
      </c>
      <c r="T10" s="111" t="s">
        <v>130</v>
      </c>
    </row>
    <row r="11" spans="1:20" ht="12.75">
      <c r="A11" s="125"/>
      <c r="B11" s="128"/>
      <c r="C11" s="102" t="s">
        <v>116</v>
      </c>
      <c r="D11" s="102" t="s">
        <v>117</v>
      </c>
      <c r="E11" s="102" t="s">
        <v>121</v>
      </c>
      <c r="F11" s="102" t="s">
        <v>157</v>
      </c>
      <c r="G11" s="106"/>
      <c r="H11" s="106"/>
      <c r="I11" s="106"/>
      <c r="J11" s="109" t="s">
        <v>118</v>
      </c>
      <c r="K11" s="109" t="s">
        <v>145</v>
      </c>
      <c r="L11" s="109" t="s">
        <v>146</v>
      </c>
      <c r="M11" s="106"/>
      <c r="N11" s="107" t="s">
        <v>119</v>
      </c>
      <c r="O11" s="108"/>
      <c r="P11" s="107" t="s">
        <v>120</v>
      </c>
      <c r="Q11" s="108"/>
      <c r="R11" s="109" t="s">
        <v>151</v>
      </c>
      <c r="S11" s="121"/>
      <c r="T11" s="112"/>
    </row>
    <row r="12" spans="1:20" ht="62.25" customHeight="1" thickBot="1">
      <c r="A12" s="126"/>
      <c r="B12" s="129"/>
      <c r="C12" s="114"/>
      <c r="D12" s="114"/>
      <c r="E12" s="114"/>
      <c r="F12" s="114"/>
      <c r="G12" s="117"/>
      <c r="H12" s="117"/>
      <c r="I12" s="117"/>
      <c r="J12" s="115"/>
      <c r="K12" s="115"/>
      <c r="L12" s="115"/>
      <c r="M12" s="117"/>
      <c r="N12" s="63" t="s">
        <v>148</v>
      </c>
      <c r="O12" s="63" t="s">
        <v>149</v>
      </c>
      <c r="P12" s="63" t="s">
        <v>121</v>
      </c>
      <c r="Q12" s="63" t="s">
        <v>150</v>
      </c>
      <c r="R12" s="115"/>
      <c r="S12" s="115"/>
      <c r="T12" s="113"/>
    </row>
    <row r="13" spans="1:20" ht="48">
      <c r="A13" s="66" t="s">
        <v>122</v>
      </c>
      <c r="B13" s="80">
        <v>4</v>
      </c>
      <c r="C13" s="64"/>
      <c r="D13" s="64">
        <v>3</v>
      </c>
      <c r="E13" s="64"/>
      <c r="F13" s="64">
        <v>3</v>
      </c>
      <c r="G13" s="79">
        <f>H13+I13+M13++S13+T13</f>
        <v>319048</v>
      </c>
      <c r="H13" s="80">
        <f>13379*12</f>
        <v>160548</v>
      </c>
      <c r="I13" s="79">
        <f>J13+K13+L13</f>
        <v>124192</v>
      </c>
      <c r="J13" s="64">
        <f>3661*12</f>
        <v>43932</v>
      </c>
      <c r="K13" s="64"/>
      <c r="L13" s="64">
        <f>6689*12-8</f>
        <v>80260</v>
      </c>
      <c r="M13" s="79">
        <f>N13+O13+P13+Q13+R13</f>
        <v>34308</v>
      </c>
      <c r="N13" s="64"/>
      <c r="O13" s="64">
        <f>1694*12</f>
        <v>20328</v>
      </c>
      <c r="P13" s="64"/>
      <c r="Q13" s="64">
        <f>1165*12</f>
        <v>13980</v>
      </c>
      <c r="R13" s="64">
        <v>0</v>
      </c>
      <c r="S13" s="64">
        <v>0</v>
      </c>
      <c r="T13" s="65">
        <v>0</v>
      </c>
    </row>
    <row r="14" spans="1:20" ht="36">
      <c r="A14" s="67" t="s">
        <v>152</v>
      </c>
      <c r="B14" s="81">
        <v>130</v>
      </c>
      <c r="C14" s="6">
        <v>5</v>
      </c>
      <c r="D14" s="6">
        <v>19</v>
      </c>
      <c r="E14" s="6">
        <v>5</v>
      </c>
      <c r="F14" s="6">
        <v>26</v>
      </c>
      <c r="G14" s="81">
        <f>H14+I14+M14</f>
        <v>4386731</v>
      </c>
      <c r="H14" s="81">
        <f>331652*12+8300*12+287</f>
        <v>4079711</v>
      </c>
      <c r="I14" s="6">
        <f>J14+K14+L14</f>
        <v>203340</v>
      </c>
      <c r="J14" s="81">
        <f>(16945*12)</f>
        <v>203340</v>
      </c>
      <c r="K14" s="6">
        <v>0</v>
      </c>
      <c r="L14" s="6">
        <v>0</v>
      </c>
      <c r="M14" s="6">
        <f>N14+O14+P14+Q14+R14</f>
        <v>103680</v>
      </c>
      <c r="N14" s="6">
        <f>930*12</f>
        <v>11160</v>
      </c>
      <c r="O14" s="6">
        <f>3390*12</f>
        <v>40680</v>
      </c>
      <c r="P14" s="6">
        <f>930*12</f>
        <v>11160</v>
      </c>
      <c r="Q14" s="6">
        <f>3390*12</f>
        <v>40680</v>
      </c>
      <c r="R14" s="6">
        <v>0</v>
      </c>
      <c r="S14" s="6">
        <v>295344</v>
      </c>
      <c r="T14" s="55">
        <v>0</v>
      </c>
    </row>
    <row r="15" spans="1:20" ht="24">
      <c r="A15" s="67" t="s">
        <v>123</v>
      </c>
      <c r="B15" s="81">
        <v>19</v>
      </c>
      <c r="C15" s="6"/>
      <c r="D15" s="6"/>
      <c r="E15" s="6"/>
      <c r="F15" s="6"/>
      <c r="G15" s="81">
        <f>H15+I15+M15++S15+T15</f>
        <v>601801</v>
      </c>
      <c r="H15" s="81">
        <f>31160*12</f>
        <v>373920</v>
      </c>
      <c r="I15" s="6">
        <f>J15+K15+L15</f>
        <v>227881</v>
      </c>
      <c r="J15" s="6">
        <f>2969*9</f>
        <v>26721</v>
      </c>
      <c r="K15" s="6">
        <f>6232*12</f>
        <v>74784</v>
      </c>
      <c r="L15" s="6">
        <f>10532*12-8</f>
        <v>126376</v>
      </c>
      <c r="M15" s="6">
        <f>N15+O15+P15+Q15+R15</f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55">
        <v>0</v>
      </c>
    </row>
    <row r="16" spans="1:20" ht="24">
      <c r="A16" s="67" t="s">
        <v>133</v>
      </c>
      <c r="B16" s="81">
        <v>55</v>
      </c>
      <c r="C16" s="6">
        <v>1</v>
      </c>
      <c r="D16" s="6">
        <v>15</v>
      </c>
      <c r="E16" s="6">
        <v>1</v>
      </c>
      <c r="F16" s="6">
        <v>15</v>
      </c>
      <c r="G16" s="81">
        <f>H16+I16+M16++S16+T16</f>
        <v>1939774</v>
      </c>
      <c r="H16" s="81">
        <f>133641*12</f>
        <v>1603692</v>
      </c>
      <c r="I16" s="6">
        <f>J16+K16+L16</f>
        <v>336082</v>
      </c>
      <c r="J16" s="6">
        <f>2791*3</f>
        <v>8373</v>
      </c>
      <c r="K16" s="6">
        <v>0</v>
      </c>
      <c r="L16" s="6">
        <f>5112*9+93902*3-5</f>
        <v>327709</v>
      </c>
      <c r="M16" s="6">
        <f>N16+O16+P16+Q16+R16</f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55">
        <v>0</v>
      </c>
    </row>
    <row r="17" spans="1:20" ht="24">
      <c r="A17" s="67" t="s">
        <v>124</v>
      </c>
      <c r="B17" s="6">
        <v>0</v>
      </c>
      <c r="C17" s="6"/>
      <c r="D17" s="6"/>
      <c r="E17" s="6"/>
      <c r="F17" s="6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55">
        <v>0</v>
      </c>
    </row>
    <row r="18" spans="1:20" ht="24">
      <c r="A18" s="67" t="s">
        <v>125</v>
      </c>
      <c r="B18" s="81">
        <v>58</v>
      </c>
      <c r="C18" s="6"/>
      <c r="D18" s="6"/>
      <c r="E18" s="6"/>
      <c r="F18" s="6"/>
      <c r="G18" s="81">
        <f>H18+I18+M18++S18+T18</f>
        <v>1052463</v>
      </c>
      <c r="H18" s="81">
        <f>79597*9+80577*3</f>
        <v>958104</v>
      </c>
      <c r="I18" s="81">
        <f>J18+K18+L18</f>
        <v>94359</v>
      </c>
      <c r="J18" s="6">
        <v>0</v>
      </c>
      <c r="K18" s="6">
        <v>0</v>
      </c>
      <c r="L18" s="6">
        <f>5620*9+14592*3+3</f>
        <v>94359</v>
      </c>
      <c r="M18" s="6">
        <f>N18+O18+P18+Q18+R18</f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55">
        <v>0</v>
      </c>
    </row>
    <row r="19" spans="1:20" ht="21.75" customHeight="1">
      <c r="A19" s="67" t="s">
        <v>22</v>
      </c>
      <c r="B19" s="81">
        <v>205</v>
      </c>
      <c r="C19" s="6"/>
      <c r="D19" s="6"/>
      <c r="E19" s="6"/>
      <c r="F19" s="6"/>
      <c r="G19" s="6">
        <f>H19+I19+M19++S19+T19</f>
        <v>3306440</v>
      </c>
      <c r="H19" s="81">
        <f>213150*9+214795*3+383657</f>
        <v>2946392</v>
      </c>
      <c r="I19" s="6">
        <f>J19+K19+L19</f>
        <v>47631</v>
      </c>
      <c r="J19" s="6">
        <v>0</v>
      </c>
      <c r="K19" s="6">
        <f>3959*9+4000*3</f>
        <v>47631</v>
      </c>
      <c r="L19" s="6">
        <v>0</v>
      </c>
      <c r="M19" s="6">
        <f>(2132+23873)*9+(2153+23971)*3</f>
        <v>312417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55">
        <v>0</v>
      </c>
    </row>
    <row r="20" spans="1:20" ht="18" customHeight="1">
      <c r="A20" s="67" t="s">
        <v>126</v>
      </c>
      <c r="B20" s="6"/>
      <c r="C20" s="6"/>
      <c r="D20" s="6"/>
      <c r="E20" s="6"/>
      <c r="F20" s="6"/>
      <c r="G20" s="81">
        <f>39300+31719+227211</f>
        <v>298230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5"/>
    </row>
    <row r="21" spans="1:20" ht="19.5" customHeight="1">
      <c r="A21" s="67" t="s">
        <v>127</v>
      </c>
      <c r="B21" s="6"/>
      <c r="C21" s="6"/>
      <c r="D21" s="6"/>
      <c r="E21" s="6"/>
      <c r="F21" s="6"/>
      <c r="G21" s="81">
        <f>13446+186723</f>
        <v>200169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5"/>
    </row>
    <row r="22" spans="1:20" ht="30" customHeight="1">
      <c r="A22" s="67" t="s">
        <v>153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5"/>
    </row>
    <row r="23" spans="1:20" ht="23.25" customHeight="1">
      <c r="A23" s="67" t="s">
        <v>129</v>
      </c>
      <c r="B23" s="60">
        <f>B13+B14+B15+B16+B17+B18+B19</f>
        <v>471</v>
      </c>
      <c r="C23" s="6"/>
      <c r="D23" s="6"/>
      <c r="E23" s="6"/>
      <c r="F23" s="6"/>
      <c r="G23" s="60">
        <f>G13+G14+G15+G16+G17+G18+G19+G20+G21+G22+S14+T14</f>
        <v>12400000</v>
      </c>
      <c r="H23" s="6">
        <f>H13+H14+H15+H16+H17+H18+H19</f>
        <v>10122367</v>
      </c>
      <c r="I23" s="6">
        <f aca="true" t="shared" si="0" ref="I23:T23">I13+I14+I15+I16+I17+I18+I19</f>
        <v>1033485</v>
      </c>
      <c r="J23" s="6">
        <f t="shared" si="0"/>
        <v>282366</v>
      </c>
      <c r="K23" s="6">
        <f t="shared" si="0"/>
        <v>122415</v>
      </c>
      <c r="L23" s="6">
        <f t="shared" si="0"/>
        <v>628704</v>
      </c>
      <c r="M23" s="6">
        <f t="shared" si="0"/>
        <v>450405</v>
      </c>
      <c r="N23" s="6">
        <f t="shared" si="0"/>
        <v>11160</v>
      </c>
      <c r="O23" s="6">
        <f t="shared" si="0"/>
        <v>61008</v>
      </c>
      <c r="P23" s="6">
        <f t="shared" si="0"/>
        <v>11160</v>
      </c>
      <c r="Q23" s="6">
        <f t="shared" si="0"/>
        <v>54660</v>
      </c>
      <c r="R23" s="6">
        <f t="shared" si="0"/>
        <v>0</v>
      </c>
      <c r="S23" s="6">
        <f t="shared" si="0"/>
        <v>295344</v>
      </c>
      <c r="T23" s="55">
        <f t="shared" si="0"/>
        <v>0</v>
      </c>
    </row>
    <row r="24" spans="1:20" ht="13.5" thickBo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</row>
    <row r="25" spans="1:20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21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31" spans="14:17" ht="12.75">
      <c r="N31" s="62"/>
      <c r="O31" s="62"/>
      <c r="P31" s="62"/>
      <c r="Q31" s="62"/>
    </row>
    <row r="32" spans="14:17" ht="12.75">
      <c r="N32" s="62"/>
      <c r="O32" s="62"/>
      <c r="P32" s="62"/>
      <c r="Q32" s="62"/>
    </row>
    <row r="33" spans="14:17" ht="12.75">
      <c r="N33" s="62"/>
      <c r="O33" s="62"/>
      <c r="P33" s="62"/>
      <c r="Q33" s="62"/>
    </row>
    <row r="34" spans="6:12" ht="12.75">
      <c r="F34" s="122" t="s">
        <v>138</v>
      </c>
      <c r="G34" s="122"/>
      <c r="H34" s="122"/>
      <c r="I34" s="122"/>
      <c r="J34" s="122"/>
      <c r="K34" s="122"/>
      <c r="L34" s="122"/>
    </row>
    <row r="35" spans="3:15" ht="21.75" customHeight="1">
      <c r="C35" s="98" t="s">
        <v>139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5:13" ht="16.5" customHeight="1">
      <c r="E36" s="123" t="s">
        <v>162</v>
      </c>
      <c r="F36" s="123"/>
      <c r="G36" s="123"/>
      <c r="H36" s="123"/>
      <c r="I36" s="123"/>
      <c r="J36" s="123"/>
      <c r="K36" s="123"/>
      <c r="L36" s="123"/>
      <c r="M36" s="123"/>
    </row>
    <row r="38" ht="13.5" thickBot="1">
      <c r="S38" t="s">
        <v>140</v>
      </c>
    </row>
    <row r="39" spans="1:20" ht="12.75">
      <c r="A39" s="124" t="s">
        <v>111</v>
      </c>
      <c r="B39" s="127" t="s">
        <v>141</v>
      </c>
      <c r="C39" s="130" t="s">
        <v>142</v>
      </c>
      <c r="D39" s="131"/>
      <c r="E39" s="131"/>
      <c r="F39" s="132"/>
      <c r="G39" s="105" t="s">
        <v>144</v>
      </c>
      <c r="H39" s="130" t="s">
        <v>134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3"/>
    </row>
    <row r="40" spans="1:20" ht="12.75">
      <c r="A40" s="125"/>
      <c r="B40" s="128"/>
      <c r="C40" s="103" t="s">
        <v>143</v>
      </c>
      <c r="D40" s="104"/>
      <c r="E40" s="107" t="s">
        <v>132</v>
      </c>
      <c r="F40" s="108"/>
      <c r="G40" s="106"/>
      <c r="H40" s="116" t="s">
        <v>113</v>
      </c>
      <c r="I40" s="116" t="s">
        <v>114</v>
      </c>
      <c r="J40" s="118" t="s">
        <v>115</v>
      </c>
      <c r="K40" s="119"/>
      <c r="L40" s="120"/>
      <c r="M40" s="116" t="s">
        <v>147</v>
      </c>
      <c r="N40" s="118" t="s">
        <v>115</v>
      </c>
      <c r="O40" s="119"/>
      <c r="P40" s="119"/>
      <c r="Q40" s="119"/>
      <c r="R40" s="120"/>
      <c r="S40" s="109" t="s">
        <v>112</v>
      </c>
      <c r="T40" s="111" t="s">
        <v>130</v>
      </c>
    </row>
    <row r="41" spans="1:20" ht="24" customHeight="1">
      <c r="A41" s="125"/>
      <c r="B41" s="128"/>
      <c r="C41" s="102" t="s">
        <v>116</v>
      </c>
      <c r="D41" s="102" t="s">
        <v>117</v>
      </c>
      <c r="E41" s="102" t="s">
        <v>121</v>
      </c>
      <c r="F41" s="102" t="s">
        <v>157</v>
      </c>
      <c r="G41" s="106"/>
      <c r="H41" s="106"/>
      <c r="I41" s="106"/>
      <c r="J41" s="109" t="s">
        <v>118</v>
      </c>
      <c r="K41" s="109" t="s">
        <v>145</v>
      </c>
      <c r="L41" s="109" t="s">
        <v>146</v>
      </c>
      <c r="M41" s="106"/>
      <c r="N41" s="107" t="s">
        <v>119</v>
      </c>
      <c r="O41" s="108"/>
      <c r="P41" s="107" t="s">
        <v>120</v>
      </c>
      <c r="Q41" s="108"/>
      <c r="R41" s="109" t="s">
        <v>151</v>
      </c>
      <c r="S41" s="121"/>
      <c r="T41" s="112"/>
    </row>
    <row r="42" spans="1:20" ht="50.25" customHeight="1" thickBot="1">
      <c r="A42" s="126"/>
      <c r="B42" s="129"/>
      <c r="C42" s="114"/>
      <c r="D42" s="114"/>
      <c r="E42" s="114"/>
      <c r="F42" s="114"/>
      <c r="G42" s="117"/>
      <c r="H42" s="117"/>
      <c r="I42" s="117"/>
      <c r="J42" s="115"/>
      <c r="K42" s="115"/>
      <c r="L42" s="115"/>
      <c r="M42" s="117"/>
      <c r="N42" s="63" t="s">
        <v>148</v>
      </c>
      <c r="O42" s="63" t="s">
        <v>149</v>
      </c>
      <c r="P42" s="63" t="s">
        <v>121</v>
      </c>
      <c r="Q42" s="63" t="s">
        <v>150</v>
      </c>
      <c r="R42" s="115"/>
      <c r="S42" s="115"/>
      <c r="T42" s="113"/>
    </row>
    <row r="43" spans="1:22" ht="48">
      <c r="A43" s="66" t="s">
        <v>122</v>
      </c>
      <c r="B43" s="73">
        <v>9</v>
      </c>
      <c r="C43" s="64">
        <v>3</v>
      </c>
      <c r="D43" s="64">
        <v>4</v>
      </c>
      <c r="E43" s="64">
        <v>3</v>
      </c>
      <c r="F43" s="64">
        <v>4</v>
      </c>
      <c r="G43" s="77">
        <f>H43+I43+M43+S43+T43</f>
        <v>698180</v>
      </c>
      <c r="H43" s="73">
        <f>(26194*12)+(1449*12)</f>
        <v>331716</v>
      </c>
      <c r="I43" s="68">
        <f>J43+K43+L43</f>
        <v>245871</v>
      </c>
      <c r="J43" s="73">
        <f>(6968*9)+(6348*3)</f>
        <v>81756</v>
      </c>
      <c r="K43" s="73">
        <f>967*12</f>
        <v>11604</v>
      </c>
      <c r="L43" s="73">
        <f>(13097*9)+(11546*3)</f>
        <v>152511</v>
      </c>
      <c r="M43" s="68">
        <f>N43+O43+P43+Q43+R43</f>
        <v>120593</v>
      </c>
      <c r="N43" s="69">
        <f>3273*12</f>
        <v>39276</v>
      </c>
      <c r="O43" s="69">
        <f>2920*9</f>
        <v>26280</v>
      </c>
      <c r="P43" s="69">
        <f>(2693*12)</f>
        <v>32316</v>
      </c>
      <c r="Q43" s="69">
        <f>1752*9</f>
        <v>15768</v>
      </c>
      <c r="R43" s="64">
        <v>6953</v>
      </c>
      <c r="S43" s="64"/>
      <c r="T43" s="65"/>
      <c r="V43" s="74"/>
    </row>
    <row r="44" spans="1:22" ht="42" customHeight="1">
      <c r="A44" s="82" t="s">
        <v>152</v>
      </c>
      <c r="B44" s="75">
        <v>274</v>
      </c>
      <c r="C44" s="6">
        <v>63</v>
      </c>
      <c r="D44" s="6">
        <v>157</v>
      </c>
      <c r="E44" s="71">
        <v>63</v>
      </c>
      <c r="F44" s="6">
        <v>191</v>
      </c>
      <c r="G44" s="75">
        <f>H44+I44+M44</f>
        <v>12629387</v>
      </c>
      <c r="H44" s="75">
        <f>787583*12+3155*12</f>
        <v>9488856</v>
      </c>
      <c r="I44" s="54">
        <f>J44+K44+L44</f>
        <v>1873662</v>
      </c>
      <c r="J44" s="6">
        <f>171205*9+110939*3</f>
        <v>1873662</v>
      </c>
      <c r="K44" s="6">
        <v>0</v>
      </c>
      <c r="L44" s="6">
        <v>0</v>
      </c>
      <c r="M44" s="76">
        <f>N44+O44+P44+Q44+R44+213857</f>
        <v>1266869</v>
      </c>
      <c r="N44" s="54">
        <f>16669*6+41670*3</f>
        <v>225024</v>
      </c>
      <c r="O44" s="54">
        <f>28165*6+62231*3</f>
        <v>355683</v>
      </c>
      <c r="P44" s="70">
        <f>16669*6+25002*3</f>
        <v>175020</v>
      </c>
      <c r="Q44" s="70">
        <f>28165*6+42765*3</f>
        <v>297285</v>
      </c>
      <c r="R44" s="6">
        <v>0</v>
      </c>
      <c r="S44" s="6">
        <f>65640*6+178790*3</f>
        <v>930210</v>
      </c>
      <c r="T44" s="55"/>
      <c r="V44" s="74"/>
    </row>
    <row r="45" spans="1:22" ht="26.25" customHeight="1">
      <c r="A45" s="67" t="s">
        <v>123</v>
      </c>
      <c r="B45" s="75">
        <v>37</v>
      </c>
      <c r="C45" s="6"/>
      <c r="D45" s="6"/>
      <c r="E45" s="6"/>
      <c r="F45" s="6"/>
      <c r="G45" s="75">
        <f>H45+I45+M45+S45+T45</f>
        <v>979365</v>
      </c>
      <c r="H45" s="75">
        <f>61981*12</f>
        <v>743772</v>
      </c>
      <c r="I45" s="54">
        <f>J45+K45+L45</f>
        <v>235593</v>
      </c>
      <c r="J45" s="75">
        <f>12577*9</f>
        <v>113193</v>
      </c>
      <c r="K45" s="75">
        <f>12396*9</f>
        <v>111564</v>
      </c>
      <c r="L45" s="6">
        <f>903*12</f>
        <v>10836</v>
      </c>
      <c r="M45" s="54">
        <f>N45+O45+P45+Q45+R45</f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/>
      <c r="T45" s="55"/>
      <c r="V45" s="74"/>
    </row>
    <row r="46" spans="1:22" ht="25.5" customHeight="1">
      <c r="A46" s="67" t="s">
        <v>124</v>
      </c>
      <c r="B46" s="75">
        <v>19</v>
      </c>
      <c r="C46" s="6"/>
      <c r="D46" s="6"/>
      <c r="E46" s="6"/>
      <c r="F46" s="6"/>
      <c r="G46" s="75">
        <f>H46+I46+M46+S46+T46</f>
        <v>513473</v>
      </c>
      <c r="H46" s="6">
        <f>28800*12</f>
        <v>345600</v>
      </c>
      <c r="I46" s="54">
        <f>J46+K46+L46</f>
        <v>129600</v>
      </c>
      <c r="J46" s="6">
        <v>0</v>
      </c>
      <c r="K46" s="76">
        <f>14400*9</f>
        <v>129600</v>
      </c>
      <c r="L46" s="6">
        <v>0</v>
      </c>
      <c r="M46" s="54">
        <f>N46+O46+P46+Q46+R46</f>
        <v>38273</v>
      </c>
      <c r="N46" s="6">
        <v>0</v>
      </c>
      <c r="O46" s="6">
        <v>0</v>
      </c>
      <c r="P46" s="6">
        <v>0</v>
      </c>
      <c r="Q46" s="6">
        <v>0</v>
      </c>
      <c r="R46" s="54">
        <v>38273</v>
      </c>
      <c r="S46" s="6"/>
      <c r="T46" s="55"/>
      <c r="V46" s="74"/>
    </row>
    <row r="47" spans="1:22" ht="24">
      <c r="A47" s="67" t="s">
        <v>125</v>
      </c>
      <c r="B47" s="75">
        <v>174</v>
      </c>
      <c r="C47" s="6"/>
      <c r="D47" s="6"/>
      <c r="E47" s="6"/>
      <c r="F47" s="6"/>
      <c r="G47" s="75">
        <f>H47+I47+M47+S47+T47</f>
        <v>3365409</v>
      </c>
      <c r="H47" s="6">
        <f>245797*9+248585*3</f>
        <v>2957928</v>
      </c>
      <c r="I47" s="54">
        <f>J47+K47+L47</f>
        <v>407481</v>
      </c>
      <c r="J47" s="6"/>
      <c r="K47" s="6"/>
      <c r="L47" s="6">
        <f>41302*9+11923*3-6</f>
        <v>407481</v>
      </c>
      <c r="M47" s="6"/>
      <c r="N47" s="6"/>
      <c r="O47" s="6"/>
      <c r="P47" s="6"/>
      <c r="Q47" s="6"/>
      <c r="R47" s="6"/>
      <c r="S47" s="6"/>
      <c r="T47" s="55"/>
      <c r="V47" s="74"/>
    </row>
    <row r="48" spans="1:22" ht="18.75" customHeight="1">
      <c r="A48" s="67" t="s">
        <v>22</v>
      </c>
      <c r="B48" s="75">
        <v>165</v>
      </c>
      <c r="C48" s="6"/>
      <c r="D48" s="6"/>
      <c r="E48" s="6"/>
      <c r="F48" s="6"/>
      <c r="G48" s="75">
        <f>H48+I48+M48+S48+T48</f>
        <v>2482095</v>
      </c>
      <c r="H48" s="75">
        <f>200970*9+202225*3</f>
        <v>2415405</v>
      </c>
      <c r="I48" s="54">
        <f>J48+K48+L48+(610*12)</f>
        <v>10260</v>
      </c>
      <c r="J48" s="6">
        <v>0</v>
      </c>
      <c r="K48" s="6">
        <v>0</v>
      </c>
      <c r="L48" s="6">
        <f>245*12</f>
        <v>2940</v>
      </c>
      <c r="M48" s="6">
        <f>(610*12+122*12+15890*3-24)</f>
        <v>56430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/>
      <c r="T48" s="55"/>
      <c r="V48" s="74"/>
    </row>
    <row r="49" spans="1:20" ht="18.75" customHeight="1">
      <c r="A49" s="67" t="s">
        <v>126</v>
      </c>
      <c r="B49" s="6"/>
      <c r="C49" s="6"/>
      <c r="D49" s="6"/>
      <c r="E49" s="6"/>
      <c r="F49" s="6"/>
      <c r="G49" s="6">
        <f>24756*6+12504*3+1</f>
        <v>186049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5"/>
    </row>
    <row r="50" spans="1:20" ht="12.75">
      <c r="A50" s="67" t="s">
        <v>127</v>
      </c>
      <c r="B50" s="6"/>
      <c r="C50" s="6"/>
      <c r="D50" s="6"/>
      <c r="E50" s="6"/>
      <c r="F50" s="6"/>
      <c r="G50" s="6">
        <f>20048*6+50048*3</f>
        <v>270432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5"/>
    </row>
    <row r="51" spans="1:20" ht="28.5" customHeight="1">
      <c r="A51" s="67" t="s">
        <v>153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5"/>
    </row>
    <row r="52" spans="1:22" ht="19.5" customHeight="1">
      <c r="A52" s="67" t="s">
        <v>129</v>
      </c>
      <c r="B52" s="60">
        <f>B43+B44+B45+B46+B47+B48</f>
        <v>678</v>
      </c>
      <c r="C52" s="6"/>
      <c r="D52" s="6"/>
      <c r="E52" s="6"/>
      <c r="F52" s="6"/>
      <c r="G52" s="60">
        <f>G43+G44+G45+G46+G47+G48+G49+G50+G51+S44+T44</f>
        <v>22054600</v>
      </c>
      <c r="H52" s="54">
        <f aca="true" t="shared" si="1" ref="H52:M52">H43+H44+H45+H46+H47+H48</f>
        <v>16283277</v>
      </c>
      <c r="I52" s="54">
        <f t="shared" si="1"/>
        <v>2902467</v>
      </c>
      <c r="J52" s="54">
        <f t="shared" si="1"/>
        <v>2068611</v>
      </c>
      <c r="K52" s="54">
        <f t="shared" si="1"/>
        <v>252768</v>
      </c>
      <c r="L52" s="54">
        <f t="shared" si="1"/>
        <v>573768</v>
      </c>
      <c r="M52" s="54">
        <f t="shared" si="1"/>
        <v>1482165</v>
      </c>
      <c r="N52" s="54">
        <f>N43+N44+N45+N46+N47+N48</f>
        <v>264300</v>
      </c>
      <c r="O52" s="54">
        <f>O43+O44+O45+O46+O47+O48</f>
        <v>381963</v>
      </c>
      <c r="P52" s="54">
        <f>P43+P44+P45+P46+P47+P48</f>
        <v>207336</v>
      </c>
      <c r="Q52" s="54">
        <f>Q43+Q44+Q45+Q46+Q47+Q48</f>
        <v>313053</v>
      </c>
      <c r="R52" s="54">
        <f>R43+R44+R45+R46+R47+R48</f>
        <v>45226</v>
      </c>
      <c r="S52" s="54">
        <f>S44</f>
        <v>930210</v>
      </c>
      <c r="T52" s="59">
        <f>T44</f>
        <v>0</v>
      </c>
      <c r="V52" s="78"/>
    </row>
    <row r="53" spans="1:20" ht="16.5" customHeight="1" thickBo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</row>
    <row r="54" spans="1:20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9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22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712" ht="12" customHeight="1"/>
    <row r="714" spans="2:20" ht="12.75"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2:20" ht="12.75"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ht="12.75">
      <c r="I716" s="72" t="s">
        <v>158</v>
      </c>
    </row>
    <row r="718" spans="14:17" ht="11.25" customHeight="1">
      <c r="N718" s="62" t="s">
        <v>135</v>
      </c>
      <c r="O718" s="62"/>
      <c r="P718" s="62"/>
      <c r="Q718" s="62"/>
    </row>
    <row r="719" spans="14:17" ht="12.75">
      <c r="N719" s="62" t="s">
        <v>136</v>
      </c>
      <c r="O719" s="62"/>
      <c r="P719" s="62"/>
      <c r="Q719" s="62"/>
    </row>
    <row r="720" spans="14:17" ht="12.75">
      <c r="N720" s="62" t="s">
        <v>137</v>
      </c>
      <c r="O720" s="62"/>
      <c r="P720" s="62"/>
      <c r="Q720" s="62"/>
    </row>
    <row r="721" spans="6:12" ht="12.75">
      <c r="F721" s="123" t="s">
        <v>138</v>
      </c>
      <c r="G721" s="123"/>
      <c r="H721" s="123"/>
      <c r="I721" s="123"/>
      <c r="J721" s="123"/>
      <c r="K721" s="123"/>
      <c r="L721" s="123"/>
    </row>
    <row r="722" spans="5:13" ht="14.25">
      <c r="E722" s="110" t="s">
        <v>159</v>
      </c>
      <c r="F722" s="110"/>
      <c r="G722" s="110"/>
      <c r="H722" s="110"/>
      <c r="I722" s="110"/>
      <c r="J722" s="110"/>
      <c r="K722" s="110"/>
      <c r="L722" s="110"/>
      <c r="M722" s="110"/>
    </row>
    <row r="723" spans="5:13" ht="14.25">
      <c r="E723" s="110" t="s">
        <v>160</v>
      </c>
      <c r="F723" s="110"/>
      <c r="G723" s="110"/>
      <c r="H723" s="110"/>
      <c r="I723" s="110"/>
      <c r="J723" s="110"/>
      <c r="K723" s="110"/>
      <c r="L723" s="110"/>
      <c r="M723" s="110"/>
    </row>
    <row r="724" spans="5:13" ht="21" customHeight="1">
      <c r="E724" s="123" t="s">
        <v>156</v>
      </c>
      <c r="F724" s="123"/>
      <c r="G724" s="123"/>
      <c r="H724" s="123"/>
      <c r="I724" s="123"/>
      <c r="J724" s="123"/>
      <c r="K724" s="123"/>
      <c r="L724" s="123"/>
      <c r="M724" s="123"/>
    </row>
    <row r="726" ht="13.5" thickBot="1">
      <c r="S726" t="s">
        <v>140</v>
      </c>
    </row>
    <row r="727" spans="1:64" ht="17.25" customHeight="1">
      <c r="A727" s="124" t="s">
        <v>111</v>
      </c>
      <c r="B727" s="127" t="s">
        <v>141</v>
      </c>
      <c r="C727" s="130" t="s">
        <v>142</v>
      </c>
      <c r="D727" s="131"/>
      <c r="E727" s="131"/>
      <c r="F727" s="132"/>
      <c r="G727" s="105" t="s">
        <v>144</v>
      </c>
      <c r="H727" s="130" t="s">
        <v>134</v>
      </c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3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</row>
    <row r="728" spans="1:64" ht="21.75" customHeight="1">
      <c r="A728" s="125"/>
      <c r="B728" s="128"/>
      <c r="C728" s="103" t="s">
        <v>143</v>
      </c>
      <c r="D728" s="104"/>
      <c r="E728" s="107" t="s">
        <v>132</v>
      </c>
      <c r="F728" s="108"/>
      <c r="G728" s="106"/>
      <c r="H728" s="116" t="s">
        <v>113</v>
      </c>
      <c r="I728" s="116" t="s">
        <v>114</v>
      </c>
      <c r="J728" s="118" t="s">
        <v>115</v>
      </c>
      <c r="K728" s="119"/>
      <c r="L728" s="120"/>
      <c r="M728" s="116" t="s">
        <v>147</v>
      </c>
      <c r="N728" s="118" t="s">
        <v>115</v>
      </c>
      <c r="O728" s="119"/>
      <c r="P728" s="119"/>
      <c r="Q728" s="119"/>
      <c r="R728" s="120"/>
      <c r="S728" s="109" t="s">
        <v>112</v>
      </c>
      <c r="T728" s="111" t="s">
        <v>130</v>
      </c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</row>
    <row r="729" spans="1:64" ht="21" customHeight="1">
      <c r="A729" s="125"/>
      <c r="B729" s="128"/>
      <c r="C729" s="102" t="s">
        <v>116</v>
      </c>
      <c r="D729" s="102" t="s">
        <v>117</v>
      </c>
      <c r="E729" s="102" t="s">
        <v>121</v>
      </c>
      <c r="F729" s="102" t="s">
        <v>157</v>
      </c>
      <c r="G729" s="106"/>
      <c r="H729" s="106"/>
      <c r="I729" s="106"/>
      <c r="J729" s="109" t="s">
        <v>118</v>
      </c>
      <c r="K729" s="109" t="s">
        <v>145</v>
      </c>
      <c r="L729" s="109" t="s">
        <v>146</v>
      </c>
      <c r="M729" s="106"/>
      <c r="N729" s="107" t="s">
        <v>119</v>
      </c>
      <c r="O729" s="108"/>
      <c r="P729" s="107" t="s">
        <v>120</v>
      </c>
      <c r="Q729" s="108"/>
      <c r="R729" s="109" t="s">
        <v>151</v>
      </c>
      <c r="S729" s="121"/>
      <c r="T729" s="112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</row>
    <row r="730" spans="1:64" ht="39" customHeight="1" thickBot="1">
      <c r="A730" s="126"/>
      <c r="B730" s="129"/>
      <c r="C730" s="114"/>
      <c r="D730" s="114"/>
      <c r="E730" s="114"/>
      <c r="F730" s="114"/>
      <c r="G730" s="117"/>
      <c r="H730" s="117"/>
      <c r="I730" s="117"/>
      <c r="J730" s="115"/>
      <c r="K730" s="115"/>
      <c r="L730" s="115"/>
      <c r="M730" s="117"/>
      <c r="N730" s="63" t="s">
        <v>148</v>
      </c>
      <c r="O730" s="63" t="s">
        <v>149</v>
      </c>
      <c r="P730" s="63" t="s">
        <v>121</v>
      </c>
      <c r="Q730" s="63" t="s">
        <v>150</v>
      </c>
      <c r="R730" s="115"/>
      <c r="S730" s="115"/>
      <c r="T730" s="113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</row>
    <row r="731" spans="1:64" ht="48" customHeight="1">
      <c r="A731" s="66" t="s">
        <v>122</v>
      </c>
      <c r="B731" s="64">
        <v>9</v>
      </c>
      <c r="C731" s="64">
        <v>4</v>
      </c>
      <c r="D731" s="64">
        <v>3</v>
      </c>
      <c r="E731" s="64">
        <v>4</v>
      </c>
      <c r="F731" s="64">
        <v>3</v>
      </c>
      <c r="G731" s="68">
        <f>H731+I731+M731+S731+T731</f>
        <v>714984</v>
      </c>
      <c r="H731" s="64">
        <f>26194*12+1448*12</f>
        <v>331704</v>
      </c>
      <c r="I731" s="68">
        <f>J731+K731+L731</f>
        <v>248664</v>
      </c>
      <c r="J731" s="64">
        <f>6658*12</f>
        <v>79896</v>
      </c>
      <c r="K731" s="64">
        <f>967*12</f>
        <v>11604</v>
      </c>
      <c r="L731" s="64">
        <f>13097*12</f>
        <v>157164</v>
      </c>
      <c r="M731" s="68">
        <f>N731+O731+P731+Q731+R731</f>
        <v>134616</v>
      </c>
      <c r="N731" s="69">
        <f>3867*12</f>
        <v>46404</v>
      </c>
      <c r="O731" s="69">
        <f>2326*12</f>
        <v>27912</v>
      </c>
      <c r="P731" s="69">
        <f>3050*12</f>
        <v>36600</v>
      </c>
      <c r="Q731" s="69">
        <v>16740</v>
      </c>
      <c r="R731" s="64">
        <f>580*12</f>
        <v>6960</v>
      </c>
      <c r="S731" s="64"/>
      <c r="T731" s="65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</row>
    <row r="732" spans="1:64" ht="43.5" customHeight="1">
      <c r="A732" s="67" t="s">
        <v>152</v>
      </c>
      <c r="B732" s="6">
        <v>274</v>
      </c>
      <c r="C732" s="6">
        <v>53</v>
      </c>
      <c r="D732" s="6">
        <v>167</v>
      </c>
      <c r="E732" s="71">
        <v>53</v>
      </c>
      <c r="F732" s="6">
        <v>206</v>
      </c>
      <c r="G732" s="6">
        <f>H732+I732+M732</f>
        <v>12412184</v>
      </c>
      <c r="H732" s="6">
        <f>787583*12+3155*12</f>
        <v>9488856</v>
      </c>
      <c r="I732" s="54">
        <f>J732+K732+L732</f>
        <v>1294512</v>
      </c>
      <c r="J732" s="6">
        <f>107876*12</f>
        <v>1294512</v>
      </c>
      <c r="K732" s="6">
        <v>0</v>
      </c>
      <c r="L732" s="6">
        <v>0</v>
      </c>
      <c r="M732" s="54">
        <f>N732+O732+P732+Q732+R732+285140</f>
        <v>1628816</v>
      </c>
      <c r="N732" s="54">
        <f>16164*12</f>
        <v>193968</v>
      </c>
      <c r="O732" s="54">
        <f>51165*12</f>
        <v>613980</v>
      </c>
      <c r="P732" s="70">
        <f>10582*12</f>
        <v>126984</v>
      </c>
      <c r="Q732" s="70">
        <f>34062*12</f>
        <v>408744</v>
      </c>
      <c r="R732" s="6">
        <v>0</v>
      </c>
      <c r="S732" s="6">
        <v>853683</v>
      </c>
      <c r="T732" s="55">
        <v>64300</v>
      </c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</row>
    <row r="733" spans="1:64" ht="30.75" customHeight="1">
      <c r="A733" s="67" t="s">
        <v>123</v>
      </c>
      <c r="B733" s="6">
        <v>37</v>
      </c>
      <c r="C733" s="6"/>
      <c r="D733" s="6"/>
      <c r="E733" s="6"/>
      <c r="F733" s="6"/>
      <c r="G733" s="6">
        <f>H733+I733+M733+S733+T733</f>
        <v>999372</v>
      </c>
      <c r="H733" s="6">
        <f>61981*12</f>
        <v>743772</v>
      </c>
      <c r="I733" s="54">
        <f>J733+K733+L733</f>
        <v>255600</v>
      </c>
      <c r="J733" s="6">
        <f>8904*12</f>
        <v>106848</v>
      </c>
      <c r="K733" s="6">
        <f>12396*12</f>
        <v>148752</v>
      </c>
      <c r="L733" s="6">
        <v>0</v>
      </c>
      <c r="M733" s="54">
        <f>N733+O733+P733+Q733+R733</f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/>
      <c r="T733" s="55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</row>
    <row r="734" spans="1:64" ht="25.5" customHeight="1">
      <c r="A734" s="67" t="s">
        <v>124</v>
      </c>
      <c r="B734" s="6">
        <v>19</v>
      </c>
      <c r="C734" s="6"/>
      <c r="D734" s="6"/>
      <c r="E734" s="6"/>
      <c r="F734" s="6"/>
      <c r="G734" s="6">
        <f>H734+I734+M734+S734+T734</f>
        <v>569424</v>
      </c>
      <c r="H734" s="6">
        <f>28800*12</f>
        <v>345600</v>
      </c>
      <c r="I734" s="54">
        <f>J734+K734+L734</f>
        <v>51024</v>
      </c>
      <c r="J734" s="6">
        <v>0</v>
      </c>
      <c r="K734" s="54">
        <f>4252*12</f>
        <v>51024</v>
      </c>
      <c r="L734" s="6">
        <v>0</v>
      </c>
      <c r="M734" s="54">
        <f>N734+O734+P734+Q734+R734</f>
        <v>172800</v>
      </c>
      <c r="N734" s="6">
        <v>0</v>
      </c>
      <c r="O734" s="6">
        <v>0</v>
      </c>
      <c r="P734" s="6">
        <v>0</v>
      </c>
      <c r="Q734" s="6">
        <v>0</v>
      </c>
      <c r="R734" s="54">
        <f>14400*12</f>
        <v>172800</v>
      </c>
      <c r="S734" s="6"/>
      <c r="T734" s="55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</row>
    <row r="735" spans="1:64" ht="27" customHeight="1">
      <c r="A735" s="67" t="s">
        <v>125</v>
      </c>
      <c r="B735" s="6">
        <v>174</v>
      </c>
      <c r="C735" s="6"/>
      <c r="D735" s="6"/>
      <c r="E735" s="6"/>
      <c r="F735" s="6"/>
      <c r="G735" s="6">
        <f>H735+I735+M735+S735+T735</f>
        <v>2921532</v>
      </c>
      <c r="H735" s="6">
        <f>243461*12</f>
        <v>2921532</v>
      </c>
      <c r="I735" s="54">
        <f>J735+K735+L735</f>
        <v>0</v>
      </c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55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</row>
    <row r="736" spans="1:64" ht="18.75" customHeight="1">
      <c r="A736" s="67" t="s">
        <v>22</v>
      </c>
      <c r="B736" s="6">
        <v>165</v>
      </c>
      <c r="C736" s="6"/>
      <c r="D736" s="6"/>
      <c r="E736" s="6"/>
      <c r="F736" s="6"/>
      <c r="G736" s="6">
        <f>H736+I736+M736+S736+T736</f>
        <v>2304084</v>
      </c>
      <c r="H736" s="6">
        <f>190510*12</f>
        <v>2286120</v>
      </c>
      <c r="I736" s="54">
        <f>J736+K736+L736+(576*12)</f>
        <v>9672</v>
      </c>
      <c r="J736" s="6">
        <v>0</v>
      </c>
      <c r="K736" s="6">
        <v>0</v>
      </c>
      <c r="L736" s="6">
        <f>230*12</f>
        <v>2760</v>
      </c>
      <c r="M736" s="6">
        <f>(576*12+115*12)</f>
        <v>8292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/>
      <c r="T736" s="55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</row>
    <row r="737" spans="1:64" ht="18.75" customHeight="1">
      <c r="A737" s="67" t="s">
        <v>126</v>
      </c>
      <c r="B737" s="6"/>
      <c r="C737" s="6"/>
      <c r="D737" s="6"/>
      <c r="E737" s="6"/>
      <c r="F737" s="6"/>
      <c r="G737" s="6">
        <v>296496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55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</row>
    <row r="738" spans="1:64" ht="20.25" customHeight="1">
      <c r="A738" s="67" t="s">
        <v>127</v>
      </c>
      <c r="B738" s="6"/>
      <c r="C738" s="6"/>
      <c r="D738" s="6"/>
      <c r="E738" s="6"/>
      <c r="F738" s="6"/>
      <c r="G738" s="6">
        <v>258516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55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</row>
    <row r="739" spans="1:64" ht="22.5" customHeight="1">
      <c r="A739" s="67" t="s">
        <v>153</v>
      </c>
      <c r="B739" s="6"/>
      <c r="C739" s="6"/>
      <c r="D739" s="6"/>
      <c r="E739" s="6"/>
      <c r="F739" s="6"/>
      <c r="G739" s="6">
        <v>47525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55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</row>
    <row r="740" spans="1:64" ht="21.75" customHeight="1">
      <c r="A740" s="67" t="s">
        <v>129</v>
      </c>
      <c r="B740" s="60">
        <f>B731+B732+B733+B734+B735+B736</f>
        <v>678</v>
      </c>
      <c r="C740" s="6"/>
      <c r="D740" s="6"/>
      <c r="E740" s="6"/>
      <c r="F740" s="6"/>
      <c r="G740" s="60">
        <f>G731+G732+G733+G734+G735+G736+G737+G738+G739+S732+T732</f>
        <v>21442100</v>
      </c>
      <c r="H740" s="54">
        <f aca="true" t="shared" si="2" ref="H740:M740">H731+H732+H733+H734+H735+H736</f>
        <v>16117584</v>
      </c>
      <c r="I740" s="54">
        <f t="shared" si="2"/>
        <v>1859472</v>
      </c>
      <c r="J740" s="54">
        <f t="shared" si="2"/>
        <v>1481256</v>
      </c>
      <c r="K740" s="54">
        <f t="shared" si="2"/>
        <v>211380</v>
      </c>
      <c r="L740" s="54">
        <f t="shared" si="2"/>
        <v>159924</v>
      </c>
      <c r="M740" s="54">
        <f t="shared" si="2"/>
        <v>1944524</v>
      </c>
      <c r="N740" s="54">
        <f>N731+N732+N733+N734+N735+N736</f>
        <v>240372</v>
      </c>
      <c r="O740" s="54">
        <f>O731+O732+O733+O734+O735+O736</f>
        <v>641892</v>
      </c>
      <c r="P740" s="54">
        <f>P731+P732+P733+P734+P735+P736</f>
        <v>163584</v>
      </c>
      <c r="Q740" s="54">
        <f>Q731+Q732+Q733+Q734+Q735+Q736</f>
        <v>425484</v>
      </c>
      <c r="R740" s="54">
        <f>R731+R732+R733+R734+R735+R736</f>
        <v>179760</v>
      </c>
      <c r="S740" s="54">
        <f>S732</f>
        <v>853683</v>
      </c>
      <c r="T740" s="59">
        <f>T732</f>
        <v>64300</v>
      </c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</row>
    <row r="741" spans="1:64" ht="13.5" thickBot="1">
      <c r="A741" s="56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8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</row>
    <row r="742" spans="21:64" s="33" customFormat="1" ht="12.75"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</row>
    <row r="743" spans="7:64" s="33" customFormat="1" ht="12.75">
      <c r="G743" s="33" t="s">
        <v>131</v>
      </c>
      <c r="N743" s="33" t="s">
        <v>128</v>
      </c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</row>
    <row r="744" spans="7:64" s="33" customFormat="1" ht="17.25" customHeight="1">
      <c r="G744" s="33" t="s">
        <v>64</v>
      </c>
      <c r="N744" s="33" t="s">
        <v>154</v>
      </c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</row>
    <row r="745" spans="21:64" s="33" customFormat="1" ht="12.75"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</row>
    <row r="746" spans="7:64" s="33" customFormat="1" ht="12.75">
      <c r="G746" s="33">
        <f>H740+I740+M740+S740+T740+G737+G739+G738</f>
        <v>21442100</v>
      </c>
      <c r="M746" s="33">
        <f>N740+O740+P740+Q740+R740</f>
        <v>1651092</v>
      </c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</row>
    <row r="747" spans="21:64" s="33" customFormat="1" ht="12.75"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</row>
    <row r="748" spans="1:64" s="3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</row>
    <row r="749" spans="1:64" s="3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62" t="s">
        <v>135</v>
      </c>
      <c r="O749" s="62"/>
      <c r="P749" s="62"/>
      <c r="Q749" s="62"/>
      <c r="R749"/>
      <c r="S749"/>
      <c r="T749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</row>
    <row r="750" spans="1:64" s="3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62" t="s">
        <v>136</v>
      </c>
      <c r="O750" s="62"/>
      <c r="P750" s="62"/>
      <c r="Q750" s="62"/>
      <c r="R750"/>
      <c r="S750"/>
      <c r="T750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</row>
    <row r="751" spans="1:64" s="3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62" t="s">
        <v>137</v>
      </c>
      <c r="O751" s="62"/>
      <c r="P751" s="62"/>
      <c r="Q751" s="62"/>
      <c r="R751"/>
      <c r="S751"/>
      <c r="T75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</row>
    <row r="752" spans="6:64" ht="12.75">
      <c r="F752" s="123" t="s">
        <v>138</v>
      </c>
      <c r="G752" s="123"/>
      <c r="H752" s="123"/>
      <c r="I752" s="123"/>
      <c r="J752" s="123"/>
      <c r="K752" s="123"/>
      <c r="L752" s="123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</row>
    <row r="753" spans="5:64" ht="21.75" customHeight="1">
      <c r="E753" s="110" t="s">
        <v>139</v>
      </c>
      <c r="F753" s="110"/>
      <c r="G753" s="110"/>
      <c r="H753" s="110"/>
      <c r="I753" s="110"/>
      <c r="J753" s="110"/>
      <c r="K753" s="110"/>
      <c r="L753" s="110"/>
      <c r="M753" s="110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</row>
    <row r="754" spans="5:64" ht="21.75" customHeight="1">
      <c r="E754" s="123" t="s">
        <v>155</v>
      </c>
      <c r="F754" s="123"/>
      <c r="G754" s="123"/>
      <c r="H754" s="123"/>
      <c r="I754" s="123"/>
      <c r="J754" s="123"/>
      <c r="K754" s="123"/>
      <c r="L754" s="123"/>
      <c r="M754" s="123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</row>
    <row r="755" spans="19:64" ht="13.5" thickBot="1">
      <c r="S755" t="s">
        <v>140</v>
      </c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</row>
    <row r="756" spans="1:64" ht="12.75">
      <c r="A756" s="124" t="s">
        <v>111</v>
      </c>
      <c r="B756" s="127" t="s">
        <v>141</v>
      </c>
      <c r="C756" s="130" t="s">
        <v>142</v>
      </c>
      <c r="D756" s="131"/>
      <c r="E756" s="131"/>
      <c r="F756" s="132"/>
      <c r="G756" s="105" t="s">
        <v>144</v>
      </c>
      <c r="H756" s="130" t="s">
        <v>134</v>
      </c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3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</row>
    <row r="757" spans="1:20" ht="21" customHeight="1">
      <c r="A757" s="125"/>
      <c r="B757" s="128"/>
      <c r="C757" s="103" t="s">
        <v>143</v>
      </c>
      <c r="D757" s="104"/>
      <c r="E757" s="107" t="s">
        <v>132</v>
      </c>
      <c r="F757" s="108"/>
      <c r="G757" s="106"/>
      <c r="H757" s="116" t="s">
        <v>113</v>
      </c>
      <c r="I757" s="116" t="s">
        <v>114</v>
      </c>
      <c r="J757" s="118" t="s">
        <v>115</v>
      </c>
      <c r="K757" s="119"/>
      <c r="L757" s="120"/>
      <c r="M757" s="116" t="s">
        <v>147</v>
      </c>
      <c r="N757" s="118" t="s">
        <v>115</v>
      </c>
      <c r="O757" s="119"/>
      <c r="P757" s="119"/>
      <c r="Q757" s="119"/>
      <c r="R757" s="120"/>
      <c r="S757" s="109" t="s">
        <v>112</v>
      </c>
      <c r="T757" s="111" t="s">
        <v>130</v>
      </c>
    </row>
    <row r="758" spans="1:20" ht="19.5" customHeight="1">
      <c r="A758" s="125"/>
      <c r="B758" s="128"/>
      <c r="C758" s="102" t="s">
        <v>116</v>
      </c>
      <c r="D758" s="102" t="s">
        <v>117</v>
      </c>
      <c r="E758" s="102" t="s">
        <v>121</v>
      </c>
      <c r="F758" s="102" t="s">
        <v>157</v>
      </c>
      <c r="G758" s="106"/>
      <c r="H758" s="106"/>
      <c r="I758" s="106"/>
      <c r="J758" s="109" t="s">
        <v>118</v>
      </c>
      <c r="K758" s="109" t="s">
        <v>145</v>
      </c>
      <c r="L758" s="109" t="s">
        <v>146</v>
      </c>
      <c r="M758" s="106"/>
      <c r="N758" s="107" t="s">
        <v>119</v>
      </c>
      <c r="O758" s="108"/>
      <c r="P758" s="107" t="s">
        <v>120</v>
      </c>
      <c r="Q758" s="108"/>
      <c r="R758" s="109" t="s">
        <v>151</v>
      </c>
      <c r="S758" s="121"/>
      <c r="T758" s="112"/>
    </row>
    <row r="759" spans="1:20" ht="48" customHeight="1" thickBot="1">
      <c r="A759" s="126"/>
      <c r="B759" s="129"/>
      <c r="C759" s="114"/>
      <c r="D759" s="114"/>
      <c r="E759" s="114"/>
      <c r="F759" s="114"/>
      <c r="G759" s="117"/>
      <c r="H759" s="117"/>
      <c r="I759" s="117"/>
      <c r="J759" s="115"/>
      <c r="K759" s="115"/>
      <c r="L759" s="115"/>
      <c r="M759" s="117"/>
      <c r="N759" s="63" t="s">
        <v>148</v>
      </c>
      <c r="O759" s="63" t="s">
        <v>149</v>
      </c>
      <c r="P759" s="63" t="s">
        <v>121</v>
      </c>
      <c r="Q759" s="63" t="s">
        <v>150</v>
      </c>
      <c r="R759" s="115"/>
      <c r="S759" s="115"/>
      <c r="T759" s="113"/>
    </row>
    <row r="760" spans="1:20" ht="48">
      <c r="A760" s="66" t="s">
        <v>122</v>
      </c>
      <c r="B760" s="64">
        <v>4</v>
      </c>
      <c r="C760" s="64"/>
      <c r="D760" s="64">
        <v>3</v>
      </c>
      <c r="E760" s="64"/>
      <c r="F760" s="64">
        <v>3</v>
      </c>
      <c r="G760" s="68">
        <f>H760+I760+M760++S760+T760</f>
        <v>277123</v>
      </c>
      <c r="H760" s="64">
        <f>13379*11</f>
        <v>147169</v>
      </c>
      <c r="I760" s="68">
        <f>J760+K760+L760</f>
        <v>98505</v>
      </c>
      <c r="J760" s="64">
        <f>3661*11</f>
        <v>40271</v>
      </c>
      <c r="K760" s="64"/>
      <c r="L760" s="64">
        <f>5294*11</f>
        <v>58234</v>
      </c>
      <c r="M760" s="68">
        <f>N760+O760+P760+Q760+R760</f>
        <v>31449</v>
      </c>
      <c r="N760" s="64"/>
      <c r="O760" s="64">
        <f>1694*11</f>
        <v>18634</v>
      </c>
      <c r="P760" s="64"/>
      <c r="Q760" s="64">
        <f>1165*11</f>
        <v>12815</v>
      </c>
      <c r="R760" s="64">
        <v>0</v>
      </c>
      <c r="S760" s="64">
        <v>0</v>
      </c>
      <c r="T760" s="65">
        <v>0</v>
      </c>
    </row>
    <row r="761" spans="1:20" ht="39" customHeight="1">
      <c r="A761" s="67" t="s">
        <v>152</v>
      </c>
      <c r="B761" s="6">
        <v>130</v>
      </c>
      <c r="C761" s="6">
        <v>5</v>
      </c>
      <c r="D761" s="6">
        <v>3</v>
      </c>
      <c r="E761" s="6">
        <v>5</v>
      </c>
      <c r="F761" s="6">
        <v>3</v>
      </c>
      <c r="G761" s="6">
        <f>H761+I761+M761</f>
        <v>3945722</v>
      </c>
      <c r="H761" s="6">
        <f>333458*11</f>
        <v>3668038</v>
      </c>
      <c r="I761" s="6">
        <f>J761+K761+L761</f>
        <v>277684</v>
      </c>
      <c r="J761" s="6">
        <f>(16944+8300)*11</f>
        <v>277684</v>
      </c>
      <c r="K761" s="6">
        <v>0</v>
      </c>
      <c r="L761" s="6">
        <v>0</v>
      </c>
      <c r="M761" s="6">
        <f>N761+O761+P761+Q761+R761</f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129358</v>
      </c>
      <c r="T761" s="55">
        <v>32000</v>
      </c>
    </row>
    <row r="762" spans="1:20" ht="31.5" customHeight="1">
      <c r="A762" s="67" t="s">
        <v>123</v>
      </c>
      <c r="B762" s="6">
        <v>19</v>
      </c>
      <c r="C762" s="6"/>
      <c r="D762" s="6"/>
      <c r="E762" s="6"/>
      <c r="F762" s="6"/>
      <c r="G762" s="6">
        <f>H762+I762+M762++S762+T762</f>
        <v>443971</v>
      </c>
      <c r="H762" s="6">
        <f>31160*11</f>
        <v>342760</v>
      </c>
      <c r="I762" s="6">
        <f>J762+K762+L762</f>
        <v>101211</v>
      </c>
      <c r="J762" s="6">
        <f>2969*11</f>
        <v>32659</v>
      </c>
      <c r="K762" s="6">
        <f>6232*11</f>
        <v>68552</v>
      </c>
      <c r="L762" s="6">
        <v>0</v>
      </c>
      <c r="M762" s="6">
        <f>N762+O762+P762+Q762+R762</f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55">
        <v>0</v>
      </c>
    </row>
    <row r="763" spans="1:20" ht="31.5" customHeight="1">
      <c r="A763" s="67" t="s">
        <v>133</v>
      </c>
      <c r="B763" s="6">
        <v>55</v>
      </c>
      <c r="C763" s="6">
        <v>1</v>
      </c>
      <c r="D763" s="6">
        <v>15</v>
      </c>
      <c r="E763" s="6">
        <v>1</v>
      </c>
      <c r="F763" s="6">
        <v>15</v>
      </c>
      <c r="G763" s="6">
        <f>H763+I763+M763++S763+T763</f>
        <v>1470051</v>
      </c>
      <c r="H763" s="6">
        <f>133641*11</f>
        <v>1470051</v>
      </c>
      <c r="I763" s="6">
        <f>J763+K763+L763</f>
        <v>0</v>
      </c>
      <c r="J763" s="6">
        <v>0</v>
      </c>
      <c r="K763" s="6">
        <v>0</v>
      </c>
      <c r="L763" s="6">
        <v>0</v>
      </c>
      <c r="M763" s="6">
        <f>N763+O763+P763+Q763+R763</f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55">
        <v>0</v>
      </c>
    </row>
    <row r="764" spans="1:20" ht="29.25" customHeight="1">
      <c r="A764" s="67" t="s">
        <v>124</v>
      </c>
      <c r="B764" s="6">
        <v>0</v>
      </c>
      <c r="C764" s="6"/>
      <c r="D764" s="6"/>
      <c r="E764" s="6"/>
      <c r="F764" s="6"/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55">
        <v>0</v>
      </c>
    </row>
    <row r="765" spans="1:20" ht="28.5" customHeight="1">
      <c r="A765" s="67" t="s">
        <v>125</v>
      </c>
      <c r="B765" s="6">
        <v>58</v>
      </c>
      <c r="C765" s="6"/>
      <c r="D765" s="6"/>
      <c r="E765" s="6"/>
      <c r="F765" s="6"/>
      <c r="G765" s="6">
        <f>H765+I765+M765++S765+T765</f>
        <v>881408</v>
      </c>
      <c r="H765" s="6">
        <f>78733*11</f>
        <v>866063</v>
      </c>
      <c r="I765" s="6">
        <f>J765+K765+L765</f>
        <v>15345</v>
      </c>
      <c r="J765" s="6">
        <v>0</v>
      </c>
      <c r="K765" s="6">
        <v>0</v>
      </c>
      <c r="L765" s="6">
        <f>1395*11</f>
        <v>15345</v>
      </c>
      <c r="M765" s="6">
        <f>N765+O765+P765+Q765+R765</f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55">
        <v>0</v>
      </c>
    </row>
    <row r="766" spans="1:20" ht="15.75" customHeight="1">
      <c r="A766" s="67" t="s">
        <v>22</v>
      </c>
      <c r="B766" s="6">
        <v>205</v>
      </c>
      <c r="C766" s="6"/>
      <c r="D766" s="6"/>
      <c r="E766" s="6"/>
      <c r="F766" s="6"/>
      <c r="G766" s="6">
        <f>H766+I766+M766++S766+T766</f>
        <v>2921996</v>
      </c>
      <c r="H766" s="6">
        <f>202400*11+51128+332332</f>
        <v>2609860</v>
      </c>
      <c r="I766" s="6">
        <f>J766+K766+L766</f>
        <v>41448</v>
      </c>
      <c r="J766" s="6">
        <v>0</v>
      </c>
      <c r="K766" s="6">
        <f>3768*11</f>
        <v>41448</v>
      </c>
      <c r="L766" s="6">
        <v>0</v>
      </c>
      <c r="M766" s="6">
        <f>(2029+22579)*11</f>
        <v>270688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55">
        <v>0</v>
      </c>
    </row>
    <row r="767" spans="1:20" ht="15" customHeight="1">
      <c r="A767" s="67" t="s">
        <v>126</v>
      </c>
      <c r="B767" s="6"/>
      <c r="C767" s="6"/>
      <c r="D767" s="6"/>
      <c r="E767" s="6"/>
      <c r="F767" s="6"/>
      <c r="G767" s="6">
        <v>94831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55"/>
    </row>
    <row r="768" spans="1:20" ht="19.5" customHeight="1">
      <c r="A768" s="67" t="s">
        <v>127</v>
      </c>
      <c r="B768" s="6"/>
      <c r="C768" s="6"/>
      <c r="D768" s="6"/>
      <c r="E768" s="6"/>
      <c r="F768" s="6"/>
      <c r="G768" s="6">
        <v>27566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55"/>
    </row>
    <row r="769" spans="1:20" ht="24" customHeight="1">
      <c r="A769" s="67" t="s">
        <v>153</v>
      </c>
      <c r="B769" s="6"/>
      <c r="C769" s="6"/>
      <c r="D769" s="6"/>
      <c r="E769" s="6"/>
      <c r="F769" s="6"/>
      <c r="G769" s="6">
        <v>15974</v>
      </c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55"/>
    </row>
    <row r="770" spans="1:20" ht="19.5" customHeight="1">
      <c r="A770" s="67" t="s">
        <v>129</v>
      </c>
      <c r="B770" s="60">
        <f>B760+B761+B762+B763+B764+B765+B766</f>
        <v>471</v>
      </c>
      <c r="C770" s="6"/>
      <c r="D770" s="6"/>
      <c r="E770" s="6"/>
      <c r="F770" s="6"/>
      <c r="G770" s="60">
        <f>G760+G761+G762+G763+G764+G765+G766+G767+G768+G769+S761+T761</f>
        <v>10240000</v>
      </c>
      <c r="H770" s="6">
        <f>H760+H761+H762+H763+H764+H765+H766</f>
        <v>9103941</v>
      </c>
      <c r="I770" s="6">
        <f aca="true" t="shared" si="3" ref="I770:T770">I760+I761+I762+I763+I764+I765+I766</f>
        <v>534193</v>
      </c>
      <c r="J770" s="6">
        <f t="shared" si="3"/>
        <v>350614</v>
      </c>
      <c r="K770" s="6">
        <f t="shared" si="3"/>
        <v>110000</v>
      </c>
      <c r="L770" s="6">
        <f t="shared" si="3"/>
        <v>73579</v>
      </c>
      <c r="M770" s="6">
        <f t="shared" si="3"/>
        <v>302137</v>
      </c>
      <c r="N770" s="6">
        <f t="shared" si="3"/>
        <v>0</v>
      </c>
      <c r="O770" s="6">
        <f t="shared" si="3"/>
        <v>18634</v>
      </c>
      <c r="P770" s="6">
        <f t="shared" si="3"/>
        <v>0</v>
      </c>
      <c r="Q770" s="6">
        <f t="shared" si="3"/>
        <v>12815</v>
      </c>
      <c r="R770" s="6">
        <f t="shared" si="3"/>
        <v>0</v>
      </c>
      <c r="S770" s="6">
        <f t="shared" si="3"/>
        <v>129358</v>
      </c>
      <c r="T770" s="55">
        <f t="shared" si="3"/>
        <v>32000</v>
      </c>
    </row>
    <row r="771" spans="1:20" ht="13.5" thickBot="1">
      <c r="A771" s="56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8"/>
    </row>
    <row r="772" spans="1:20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8" customHeight="1">
      <c r="A773" s="33"/>
      <c r="B773" s="33"/>
      <c r="C773" s="33"/>
      <c r="D773" s="33"/>
      <c r="E773" s="33"/>
      <c r="F773" s="33"/>
      <c r="G773" s="33" t="s">
        <v>131</v>
      </c>
      <c r="H773" s="33"/>
      <c r="I773" s="33"/>
      <c r="J773" s="33"/>
      <c r="K773" s="33"/>
      <c r="L773" s="33"/>
      <c r="M773" s="33"/>
      <c r="N773" s="33" t="s">
        <v>128</v>
      </c>
      <c r="O773" s="33"/>
      <c r="P773" s="33"/>
      <c r="Q773" s="33"/>
      <c r="R773" s="33"/>
      <c r="S773" s="33"/>
      <c r="T773" s="33"/>
    </row>
    <row r="774" spans="1:20" ht="19.5" customHeight="1">
      <c r="A774" s="33"/>
      <c r="B774" s="33"/>
      <c r="C774" s="33"/>
      <c r="D774" s="33"/>
      <c r="E774" s="33"/>
      <c r="F774" s="33"/>
      <c r="G774" s="33" t="s">
        <v>64</v>
      </c>
      <c r="H774" s="33"/>
      <c r="I774" s="33"/>
      <c r="J774" s="33"/>
      <c r="K774" s="33"/>
      <c r="L774" s="33"/>
      <c r="M774" s="33"/>
      <c r="N774" s="33" t="s">
        <v>154</v>
      </c>
      <c r="O774" s="33"/>
      <c r="P774" s="33"/>
      <c r="Q774" s="33"/>
      <c r="R774" s="33"/>
      <c r="S774" s="33"/>
      <c r="T774" s="33"/>
    </row>
    <row r="776" ht="12.75">
      <c r="G776">
        <f>H770+I770+M770+G767+G768+G769+S761+T761</f>
        <v>10240000</v>
      </c>
    </row>
  </sheetData>
  <sheetProtection/>
  <mergeCells count="109">
    <mergeCell ref="S757:S759"/>
    <mergeCell ref="T757:T759"/>
    <mergeCell ref="C758:C759"/>
    <mergeCell ref="D758:D759"/>
    <mergeCell ref="E758:E759"/>
    <mergeCell ref="F758:F759"/>
    <mergeCell ref="J758:J759"/>
    <mergeCell ref="K758:K759"/>
    <mergeCell ref="L758:L759"/>
    <mergeCell ref="N758:O758"/>
    <mergeCell ref="I757:I759"/>
    <mergeCell ref="J757:L757"/>
    <mergeCell ref="M757:M759"/>
    <mergeCell ref="N757:R757"/>
    <mergeCell ref="P758:Q758"/>
    <mergeCell ref="R758:R759"/>
    <mergeCell ref="E753:M753"/>
    <mergeCell ref="E754:M754"/>
    <mergeCell ref="A756:A759"/>
    <mergeCell ref="B756:B759"/>
    <mergeCell ref="C756:F756"/>
    <mergeCell ref="G756:G759"/>
    <mergeCell ref="H756:T756"/>
    <mergeCell ref="C757:D757"/>
    <mergeCell ref="E757:F757"/>
    <mergeCell ref="H757:H759"/>
    <mergeCell ref="L729:L730"/>
    <mergeCell ref="N729:O729"/>
    <mergeCell ref="P729:Q729"/>
    <mergeCell ref="R729:R730"/>
    <mergeCell ref="F752:L752"/>
    <mergeCell ref="H728:H730"/>
    <mergeCell ref="I728:I730"/>
    <mergeCell ref="J728:L728"/>
    <mergeCell ref="M728:M730"/>
    <mergeCell ref="N728:R728"/>
    <mergeCell ref="C729:C730"/>
    <mergeCell ref="D729:D730"/>
    <mergeCell ref="E729:E730"/>
    <mergeCell ref="F729:F730"/>
    <mergeCell ref="J729:J730"/>
    <mergeCell ref="K729:K730"/>
    <mergeCell ref="E724:M724"/>
    <mergeCell ref="A727:A730"/>
    <mergeCell ref="B727:B730"/>
    <mergeCell ref="C727:F727"/>
    <mergeCell ref="G727:G730"/>
    <mergeCell ref="H727:T727"/>
    <mergeCell ref="C728:D728"/>
    <mergeCell ref="E728:F728"/>
    <mergeCell ref="S728:S730"/>
    <mergeCell ref="T728:T730"/>
    <mergeCell ref="F721:L721"/>
    <mergeCell ref="E723:M723"/>
    <mergeCell ref="C10:D10"/>
    <mergeCell ref="E10:F10"/>
    <mergeCell ref="E722:M722"/>
    <mergeCell ref="S10:S12"/>
    <mergeCell ref="R11:R12"/>
    <mergeCell ref="F5:L5"/>
    <mergeCell ref="E6:M6"/>
    <mergeCell ref="E7:M7"/>
    <mergeCell ref="A9:A12"/>
    <mergeCell ref="B9:B12"/>
    <mergeCell ref="C9:F9"/>
    <mergeCell ref="G9:G12"/>
    <mergeCell ref="H9:T9"/>
    <mergeCell ref="P11:Q11"/>
    <mergeCell ref="H10:H12"/>
    <mergeCell ref="I10:I12"/>
    <mergeCell ref="J10:L10"/>
    <mergeCell ref="M10:M12"/>
    <mergeCell ref="N10:R10"/>
    <mergeCell ref="E40:F40"/>
    <mergeCell ref="T10:T12"/>
    <mergeCell ref="C11:C12"/>
    <mergeCell ref="D11:D12"/>
    <mergeCell ref="E11:E12"/>
    <mergeCell ref="F11:F12"/>
    <mergeCell ref="J11:J12"/>
    <mergeCell ref="K11:K12"/>
    <mergeCell ref="L11:L12"/>
    <mergeCell ref="N11:O11"/>
    <mergeCell ref="S40:S42"/>
    <mergeCell ref="R41:R42"/>
    <mergeCell ref="F34:L34"/>
    <mergeCell ref="E36:M36"/>
    <mergeCell ref="A39:A42"/>
    <mergeCell ref="B39:B42"/>
    <mergeCell ref="C39:F39"/>
    <mergeCell ref="G39:G42"/>
    <mergeCell ref="H39:T39"/>
    <mergeCell ref="C40:D40"/>
    <mergeCell ref="P41:Q41"/>
    <mergeCell ref="H40:H42"/>
    <mergeCell ref="I40:I42"/>
    <mergeCell ref="J40:L40"/>
    <mergeCell ref="M40:M42"/>
    <mergeCell ref="N40:R40"/>
    <mergeCell ref="C35:O35"/>
    <mergeCell ref="T40:T42"/>
    <mergeCell ref="C41:C42"/>
    <mergeCell ref="D41:D42"/>
    <mergeCell ref="E41:E42"/>
    <mergeCell ref="F41:F42"/>
    <mergeCell ref="J41:J42"/>
    <mergeCell ref="K41:K42"/>
    <mergeCell ref="L41:L42"/>
    <mergeCell ref="N41:O41"/>
  </mergeCells>
  <printOptions/>
  <pageMargins left="0.36" right="0.2" top="0.44" bottom="0.19" header="0.22" footer="0.2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2015-01-22T15:10:09Z</cp:lastPrinted>
  <dcterms:created xsi:type="dcterms:W3CDTF">2008-10-24T11:46:10Z</dcterms:created>
  <dcterms:modified xsi:type="dcterms:W3CDTF">2015-04-07T12:48:47Z</dcterms:modified>
  <cp:category/>
  <cp:version/>
  <cp:contentType/>
  <cp:contentStatus/>
</cp:coreProperties>
</file>